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bb02ffe49e1095/Consultancy Firm/Special Documents/Calculators/"/>
    </mc:Choice>
  </mc:AlternateContent>
  <xr:revisionPtr revIDLastSave="0" documentId="8_{19DB35FA-984D-480A-94E9-A37EC7DE24A6}" xr6:coauthVersionLast="47" xr6:coauthVersionMax="47" xr10:uidLastSave="{00000000-0000-0000-0000-000000000000}"/>
  <bookViews>
    <workbookView xWindow="-110" yWindow="-110" windowWidth="19420" windowHeight="11500" activeTab="3" xr2:uid="{8D3B11E3-7354-4AFE-93F0-27208802F2C7}"/>
  </bookViews>
  <sheets>
    <sheet name="IncomeandExpenses" sheetId="1" r:id="rId1"/>
    <sheet name="Assets" sheetId="2" r:id="rId2"/>
    <sheet name="CashFlow" sheetId="3" r:id="rId3"/>
    <sheet name="SPACalculator" sheetId="5" r:id="rId4"/>
    <sheet name="Overview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3" l="1"/>
  <c r="E15" i="3" s="1"/>
  <c r="B22" i="3"/>
  <c r="B25" i="3"/>
  <c r="B24" i="3"/>
  <c r="B26" i="3" l="1"/>
  <c r="B9" i="5" s="1"/>
  <c r="J44" i="5"/>
  <c r="L44" i="5" s="1"/>
  <c r="E44" i="5"/>
  <c r="J43" i="5"/>
  <c r="L43" i="5" s="1"/>
  <c r="E43" i="5"/>
  <c r="J42" i="5"/>
  <c r="L42" i="5" s="1"/>
  <c r="E42" i="5"/>
  <c r="L41" i="5"/>
  <c r="E41" i="5"/>
  <c r="F27" i="5"/>
  <c r="B3" i="5"/>
  <c r="B5" i="5" s="1"/>
  <c r="B8" i="4"/>
  <c r="E14" i="3" l="1"/>
  <c r="B23" i="4"/>
  <c r="B22" i="4"/>
  <c r="B21" i="4"/>
  <c r="B20" i="4"/>
  <c r="B19" i="4"/>
  <c r="B6" i="4"/>
  <c r="I44" i="3" l="1"/>
  <c r="K44" i="3" s="1"/>
  <c r="D44" i="3"/>
  <c r="I43" i="3"/>
  <c r="K43" i="3" s="1"/>
  <c r="D43" i="3"/>
  <c r="I42" i="3"/>
  <c r="K42" i="3" s="1"/>
  <c r="D42" i="3"/>
  <c r="K41" i="3"/>
  <c r="D41" i="3"/>
  <c r="E27" i="3"/>
  <c r="I7" i="3"/>
  <c r="G7" i="3"/>
  <c r="F7" i="3"/>
  <c r="E7" i="3"/>
  <c r="B7" i="3"/>
  <c r="E9" i="3" s="1"/>
  <c r="C14" i="2"/>
  <c r="B10" i="3" s="1"/>
  <c r="G5" i="3" s="1"/>
  <c r="C13" i="2"/>
  <c r="B11" i="3" s="1"/>
  <c r="I5" i="3" s="1"/>
  <c r="C12" i="2"/>
  <c r="B9" i="3" s="1"/>
  <c r="F5" i="3" s="1"/>
  <c r="C11" i="2"/>
  <c r="F32" i="1"/>
  <c r="E32" i="1"/>
  <c r="D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B8" i="3" l="1"/>
  <c r="C15" i="2"/>
  <c r="B10" i="4" s="1"/>
  <c r="J32" i="1"/>
  <c r="J36" i="1" s="1"/>
  <c r="F9" i="3"/>
  <c r="G9" i="3"/>
  <c r="I9" i="3"/>
  <c r="I10" i="3" s="1"/>
  <c r="E5" i="3" l="1"/>
  <c r="E10" i="3" s="1"/>
  <c r="B19" i="5"/>
  <c r="J4" i="1"/>
  <c r="J7" i="1" s="1"/>
  <c r="J35" i="1" s="1"/>
  <c r="J37" i="1" s="1"/>
  <c r="F10" i="3"/>
  <c r="G10" i="3"/>
  <c r="B8" i="5" s="1"/>
  <c r="B15" i="5" s="1"/>
  <c r="F4" i="5" s="1"/>
  <c r="B7" i="5" l="1"/>
  <c r="B14" i="5" s="1"/>
  <c r="F3" i="5" s="1"/>
  <c r="E13" i="3"/>
  <c r="E16" i="3" s="1"/>
  <c r="E36" i="3" s="1"/>
  <c r="E12" i="3"/>
  <c r="B11" i="4" s="1"/>
  <c r="B12" i="3"/>
  <c r="B13" i="4" s="1"/>
  <c r="B10" i="5" l="1"/>
  <c r="B17" i="3"/>
  <c r="B14" i="4" s="1"/>
  <c r="B26" i="4" s="1"/>
  <c r="D20" i="4" s="1"/>
  <c r="F36" i="5"/>
  <c r="F5" i="5"/>
  <c r="F41" i="3"/>
  <c r="E41" i="3"/>
  <c r="G41" i="5" l="1"/>
  <c r="F41" i="5"/>
  <c r="F42" i="3"/>
  <c r="E42" i="3"/>
  <c r="G42" i="5" l="1"/>
  <c r="F42" i="5"/>
  <c r="F43" i="3"/>
  <c r="E43" i="3"/>
  <c r="G43" i="5" l="1"/>
  <c r="F43" i="5"/>
  <c r="E44" i="3"/>
  <c r="E46" i="3" s="1"/>
  <c r="E17" i="3" s="1"/>
  <c r="B15" i="4" s="1"/>
  <c r="D19" i="4" s="1"/>
  <c r="F44" i="3"/>
  <c r="G44" i="5" l="1"/>
  <c r="F44" i="5"/>
  <c r="F46" i="5" s="1"/>
  <c r="F7" i="5" s="1"/>
  <c r="B27" i="4" s="1"/>
  <c r="D21" i="4" s="1"/>
  <c r="E18" i="3"/>
  <c r="B16" i="4" s="1"/>
</calcChain>
</file>

<file path=xl/sharedStrings.xml><?xml version="1.0" encoding="utf-8"?>
<sst xmlns="http://schemas.openxmlformats.org/spreadsheetml/2006/main" count="183" uniqueCount="146">
  <si>
    <t>Income Type</t>
  </si>
  <si>
    <t>Comments how paid / variable ?</t>
  </si>
  <si>
    <t>Amount(£)</t>
  </si>
  <si>
    <t>Income Required After Tax</t>
  </si>
  <si>
    <t>Additional Income</t>
  </si>
  <si>
    <t>Total Income</t>
  </si>
  <si>
    <t>Expenditure details for regular payments and weekly cash</t>
  </si>
  <si>
    <t>Expense Type</t>
  </si>
  <si>
    <t>Cash (weekly) (£)</t>
  </si>
  <si>
    <t>Regular Monthly Payments  (£)</t>
  </si>
  <si>
    <t>Monthly Savings (£)</t>
  </si>
  <si>
    <t>Total Monthly Amount (Regular Monthly or Weekly * 4.3)</t>
  </si>
  <si>
    <t>Mortgage</t>
  </si>
  <si>
    <t>Council Tax</t>
  </si>
  <si>
    <t>Water</t>
  </si>
  <si>
    <t>Gas &amp; Electricity</t>
  </si>
  <si>
    <t>Television / Broadband / Phone</t>
  </si>
  <si>
    <t>Building and contents insurance</t>
  </si>
  <si>
    <t>Life Insurance</t>
  </si>
  <si>
    <t>Private Health Insurance</t>
  </si>
  <si>
    <t xml:space="preserve">Savings / Pensions </t>
  </si>
  <si>
    <t>Car Insurance</t>
  </si>
  <si>
    <t xml:space="preserve">Other   </t>
  </si>
  <si>
    <t>Food</t>
  </si>
  <si>
    <t>Fuel</t>
  </si>
  <si>
    <t xml:space="preserve">Total </t>
  </si>
  <si>
    <t>Total regular Income</t>
  </si>
  <si>
    <t>Less total regular expenditure</t>
  </si>
  <si>
    <t>Surplus / Shortfall</t>
  </si>
  <si>
    <t>Type of account</t>
  </si>
  <si>
    <t>Description</t>
  </si>
  <si>
    <t>Balance</t>
  </si>
  <si>
    <t>Pension</t>
  </si>
  <si>
    <t>Stocks and Shares ISA</t>
  </si>
  <si>
    <t>Various</t>
  </si>
  <si>
    <t>Cash Savings</t>
  </si>
  <si>
    <t>Cash ISA</t>
  </si>
  <si>
    <t>Other Savings (non ISA)</t>
  </si>
  <si>
    <t>Fixed Pension Income (state pension / guaranteed pension scheme)</t>
  </si>
  <si>
    <t>Guaranteed Company Pension</t>
  </si>
  <si>
    <t>Investments &amp; Pension</t>
  </si>
  <si>
    <t>Cash</t>
  </si>
  <si>
    <t>Funding required to provide income (inc inflation)</t>
  </si>
  <si>
    <t>Stocks &amp; Shares ISA</t>
  </si>
  <si>
    <t>Current Age</t>
  </si>
  <si>
    <t>Total Cash (non ISA)</t>
  </si>
  <si>
    <t>Total Stocks and Shares ISA</t>
  </si>
  <si>
    <t>Total Cash ISA</t>
  </si>
  <si>
    <t>All sources of income</t>
  </si>
  <si>
    <t>Expected Inflation Rate</t>
  </si>
  <si>
    <t>Expected Growth on Investments</t>
  </si>
  <si>
    <t>Expected Growth on Cash</t>
  </si>
  <si>
    <t>Expected Growth on Cash ISA</t>
  </si>
  <si>
    <t>Shortfall / surplus</t>
  </si>
  <si>
    <t>Guaranteed Income</t>
  </si>
  <si>
    <t>Tax Calculations (no inflation proofing)</t>
  </si>
  <si>
    <t>Personal Allowance</t>
  </si>
  <si>
    <t>State Pension Age</t>
  </si>
  <si>
    <t>Inflation Increases</t>
  </si>
  <si>
    <t>Age 65 - 74</t>
  </si>
  <si>
    <t xml:space="preserve"> Enter personal allowance - note this reduces where the taxable income is above £100,000 by £1 for every £2 of income</t>
  </si>
  <si>
    <t>Additional allowances</t>
  </si>
  <si>
    <t>Pension Age</t>
  </si>
  <si>
    <t>Income Tax</t>
  </si>
  <si>
    <t>Taxable Income</t>
  </si>
  <si>
    <t>Tax</t>
  </si>
  <si>
    <t>Carry Over</t>
  </si>
  <si>
    <t>Rate</t>
  </si>
  <si>
    <t>Start of Band</t>
  </si>
  <si>
    <t>End of Band</t>
  </si>
  <si>
    <t>Difference</t>
  </si>
  <si>
    <t>Total Income Tax</t>
  </si>
  <si>
    <t>* The 10% rate only applies to savings so it is zeroed.</t>
  </si>
  <si>
    <t>Note : Change end of band as appropriate</t>
  </si>
  <si>
    <t xml:space="preserve">Cash Flow </t>
  </si>
  <si>
    <t>Client Summary</t>
  </si>
  <si>
    <t>Date</t>
  </si>
  <si>
    <t>Name</t>
  </si>
  <si>
    <t>Assets (for income)</t>
  </si>
  <si>
    <t>Current value of assets to provide income</t>
  </si>
  <si>
    <t>Shortfall / surplus (per month)</t>
  </si>
  <si>
    <t>Assumptions</t>
  </si>
  <si>
    <t>Expected Inflation Increases on "Other Guaranteed Pension"</t>
  </si>
  <si>
    <t xml:space="preserve">NOTE: For joint investments split 50 / 50 for purposes of the calculation </t>
  </si>
  <si>
    <t>Total Liquid Assets for Income</t>
  </si>
  <si>
    <t>Projected value of assets to provide income (including regular investments)</t>
  </si>
  <si>
    <r>
      <t xml:space="preserve">Target Income </t>
    </r>
    <r>
      <rPr>
        <b/>
        <sz val="11"/>
        <color theme="1"/>
        <rFont val="Calibri"/>
        <family val="2"/>
        <scheme val="minor"/>
      </rPr>
      <t>after tax</t>
    </r>
    <r>
      <rPr>
        <sz val="11"/>
        <color theme="1"/>
        <rFont val="Calibri"/>
        <family val="2"/>
        <scheme val="minor"/>
      </rPr>
      <t xml:space="preserve"> (in today's figures) (per month)</t>
    </r>
  </si>
  <si>
    <r>
      <t xml:space="preserve">Target Income </t>
    </r>
    <r>
      <rPr>
        <b/>
        <sz val="11"/>
        <color theme="1"/>
        <rFont val="Calibri"/>
        <family val="2"/>
        <scheme val="minor"/>
      </rPr>
      <t xml:space="preserve">after tax </t>
    </r>
    <r>
      <rPr>
        <sz val="11"/>
        <color theme="1"/>
        <rFont val="Calibri"/>
        <family val="2"/>
        <scheme val="minor"/>
      </rPr>
      <t>(inc inflation) (per month)</t>
    </r>
  </si>
  <si>
    <t xml:space="preserve">Planned Starting Age of Income </t>
  </si>
  <si>
    <t>Investments (includes Pension)</t>
  </si>
  <si>
    <t xml:space="preserve">Other sources of income at starting age </t>
  </si>
  <si>
    <t>Part time income</t>
  </si>
  <si>
    <t>NOTE:</t>
  </si>
  <si>
    <t>You can enter specific expenditure to do this:</t>
  </si>
  <si>
    <t>3. The Calculator calculates the total monthly amount and then shows the total income needed at planned starting age of income</t>
  </si>
  <si>
    <t>If there is no specific expenditure enter the figure needed under other monthly savings (Box F22)</t>
  </si>
  <si>
    <t>This calculator provides an estimate of income at State Pension Age (where starting age of income is before this date)</t>
  </si>
  <si>
    <t>Planned Starting Age of Income</t>
  </si>
  <si>
    <t>Number of Years to State Pension Age</t>
  </si>
  <si>
    <t>Estimated Guaranteed Income at Planned Starting Age</t>
  </si>
  <si>
    <t>Estimated Monthly Income From Investments at State Pension Age</t>
  </si>
  <si>
    <t>Estimated Monthly Income From Guaranteed Income at State Pension Age</t>
  </si>
  <si>
    <t>Expected Annual Increase on Guaranteed Income</t>
  </si>
  <si>
    <t>Expected Annual Increase Income</t>
  </si>
  <si>
    <t>Estimated Monthly Income From Guaranteed Income at State Pension age</t>
  </si>
  <si>
    <t>Estimated Monthly State Pension</t>
  </si>
  <si>
    <t>Other Monthly Income at State Pension Age</t>
  </si>
  <si>
    <t>Estimated Taxable Monthly Income From Investments at Planned Starting Age</t>
  </si>
  <si>
    <t>Estimated Tax Free Monthly Income From Investments at Planned Starting Age</t>
  </si>
  <si>
    <t>Total Estimated Tax Free Monthly Income At State Pension Age</t>
  </si>
  <si>
    <t xml:space="preserve">Total Estimated Taxable Monthly Income At State Pension Age </t>
  </si>
  <si>
    <t>Age</t>
  </si>
  <si>
    <r>
      <t xml:space="preserve">Estimated </t>
    </r>
    <r>
      <rPr>
        <b/>
        <sz val="11"/>
        <color theme="1"/>
        <rFont val="Calibri"/>
        <family val="2"/>
        <scheme val="minor"/>
      </rPr>
      <t>Tax Free</t>
    </r>
    <r>
      <rPr>
        <sz val="11"/>
        <color theme="1"/>
        <rFont val="Calibri"/>
        <family val="2"/>
        <scheme val="minor"/>
      </rPr>
      <t xml:space="preserve"> Monthly Income From Investments at Planned Starting Age</t>
    </r>
  </si>
  <si>
    <t>(i.e. Income from ISA))</t>
  </si>
  <si>
    <t>1. Enter Expense Type i.e. mortgage, council tax etc</t>
  </si>
  <si>
    <t>Ad hoc cash (withdrawals)</t>
  </si>
  <si>
    <t>2. Enter Payment Type - examples ad hoc cash (withdrawals) would go under cash (weekly), mortgage under regular monthly and saving for a holiday under monthly savings</t>
  </si>
  <si>
    <t>Income and Expenses</t>
  </si>
  <si>
    <t>Required Income including inflation</t>
  </si>
  <si>
    <t>Total assets (pensions and non ISA investments)</t>
  </si>
  <si>
    <t>Required Monthly Income (NET)</t>
  </si>
  <si>
    <r>
      <t xml:space="preserve">Expected Inflation Rate </t>
    </r>
    <r>
      <rPr>
        <b/>
        <sz val="11"/>
        <color theme="1"/>
        <rFont val="Calibri"/>
        <family val="2"/>
        <scheme val="minor"/>
      </rPr>
      <t>(to planned starting age)</t>
    </r>
  </si>
  <si>
    <t>Required Monthly Income at starting age (inflation adjusted)</t>
  </si>
  <si>
    <t>Guaranteed Pension</t>
  </si>
  <si>
    <t>Guaranteed Pension at Starting Age</t>
  </si>
  <si>
    <t xml:space="preserve">Other sources of income at Starting Age </t>
  </si>
  <si>
    <t xml:space="preserve">Number of years to Starting Age </t>
  </si>
  <si>
    <t>Projected future value of assets to provide income (paid up)</t>
  </si>
  <si>
    <t>Rate of drawdown (% per year)</t>
  </si>
  <si>
    <t>Net return after drawdown</t>
  </si>
  <si>
    <t xml:space="preserve">Gross contributions to starting age </t>
  </si>
  <si>
    <t>Projected value of contributions at starting age</t>
  </si>
  <si>
    <t>Projected drawdown from assets at starting age (monthly)</t>
  </si>
  <si>
    <t xml:space="preserve">Total projected value of all assets </t>
  </si>
  <si>
    <t>Other Sources of Income (Refer to Box B28)</t>
  </si>
  <si>
    <r>
      <t xml:space="preserve">Total Pre-Tax </t>
    </r>
    <r>
      <rPr>
        <b/>
        <sz val="11"/>
        <color theme="1"/>
        <rFont val="Calibri"/>
        <family val="2"/>
        <scheme val="minor"/>
      </rPr>
      <t>Monthly</t>
    </r>
    <r>
      <rPr>
        <sz val="11"/>
        <color theme="1"/>
        <rFont val="Calibri"/>
        <family val="2"/>
        <scheme val="minor"/>
      </rPr>
      <t xml:space="preserve"> Income based on Rate of Drawdown (% - refer to box D6)</t>
    </r>
  </si>
  <si>
    <t xml:space="preserve">Total taxable income </t>
  </si>
  <si>
    <t>Estimated income after tax (based on current levels)</t>
  </si>
  <si>
    <t xml:space="preserve">Estimated income from all sources after tax </t>
  </si>
  <si>
    <r>
      <t xml:space="preserve">Projected Income </t>
    </r>
    <r>
      <rPr>
        <b/>
        <sz val="11"/>
        <color theme="1"/>
        <rFont val="Calibri"/>
        <family val="2"/>
        <scheme val="minor"/>
      </rPr>
      <t xml:space="preserve">after tax </t>
    </r>
    <r>
      <rPr>
        <sz val="11"/>
        <color theme="1"/>
        <rFont val="Calibri"/>
        <family val="2"/>
        <scheme val="minor"/>
      </rPr>
      <t>(per month)</t>
    </r>
  </si>
  <si>
    <r>
      <t>Projected Income</t>
    </r>
    <r>
      <rPr>
        <b/>
        <sz val="11"/>
        <color theme="1"/>
        <rFont val="Calibri"/>
        <family val="2"/>
        <scheme val="minor"/>
      </rPr>
      <t xml:space="preserve"> after tax </t>
    </r>
    <r>
      <rPr>
        <sz val="11"/>
        <color theme="1"/>
        <rFont val="Calibri"/>
        <family val="2"/>
        <scheme val="minor"/>
      </rPr>
      <t>(per month)</t>
    </r>
  </si>
  <si>
    <t>From State Pension Age</t>
  </si>
  <si>
    <r>
      <t>Projected Income</t>
    </r>
    <r>
      <rPr>
        <b/>
        <sz val="11"/>
        <color theme="1"/>
        <rFont val="Calibri"/>
        <family val="2"/>
        <scheme val="minor"/>
      </rPr>
      <t xml:space="preserve"> at State Pension Age after tax </t>
    </r>
    <r>
      <rPr>
        <sz val="11"/>
        <color theme="1"/>
        <rFont val="Calibri"/>
        <family val="2"/>
        <scheme val="minor"/>
      </rPr>
      <t>(per month)</t>
    </r>
  </si>
  <si>
    <r>
      <t xml:space="preserve">Projected Income at Starting Age </t>
    </r>
    <r>
      <rPr>
        <b/>
        <sz val="11"/>
        <color theme="1"/>
        <rFont val="Calibri"/>
        <family val="2"/>
        <scheme val="minor"/>
      </rPr>
      <t xml:space="preserve">after tax </t>
    </r>
    <r>
      <rPr>
        <sz val="11"/>
        <color theme="1"/>
        <rFont val="Calibri"/>
        <family val="2"/>
        <scheme val="minor"/>
      </rPr>
      <t>(per month)</t>
    </r>
  </si>
  <si>
    <t>ISA</t>
  </si>
  <si>
    <t>A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</si>
</sst>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&quot; &quot;[$£-809]* #,##0.00&quot; &quot;;&quot;-&quot;[$£-809]* #,##0.00&quot; &quot;;&quot; &quot;[$£-809]* &quot;-&quot;??&quot; &quot;"/>
    <numFmt numFmtId="165" formatCode="&quot;£&quot;#,##0.00"/>
    <numFmt numFmtId="166" formatCode="&quot; &quot;* #,##0.00&quot; &quot;;&quot;-&quot;* #,##0.00&quot; &quot;;&quot; &quot;* &quot;-&quot;??&quot; &quot;"/>
    <numFmt numFmtId="167" formatCode="[$£-809]#,##0.00;[Red]\-[$£-809]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Luxi Sans"/>
      <family val="2"/>
    </font>
    <font>
      <i/>
      <sz val="10"/>
      <name val="Arial"/>
      <family val="2"/>
    </font>
    <font>
      <sz val="10"/>
      <name val="Times New Roman"/>
      <family val="1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/>
    <xf numFmtId="1" fontId="3" fillId="3" borderId="1" xfId="0" applyNumberFormat="1" applyFont="1" applyFill="1" applyBorder="1"/>
    <xf numFmtId="0" fontId="4" fillId="4" borderId="1" xfId="0" applyFont="1" applyFill="1" applyBorder="1"/>
    <xf numFmtId="1" fontId="5" fillId="4" borderId="1" xfId="0" applyNumberFormat="1" applyFont="1" applyFill="1" applyBorder="1"/>
    <xf numFmtId="164" fontId="4" fillId="4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5" fillId="3" borderId="1" xfId="0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165" fontId="4" fillId="3" borderId="1" xfId="0" applyNumberFormat="1" applyFont="1" applyFill="1" applyBorder="1" applyAlignment="1" applyProtection="1">
      <alignment horizontal="right"/>
      <protection locked="0"/>
    </xf>
    <xf numFmtId="165" fontId="4" fillId="3" borderId="1" xfId="0" applyNumberFormat="1" applyFont="1" applyFill="1" applyBorder="1" applyAlignment="1">
      <alignment horizontal="right"/>
    </xf>
    <xf numFmtId="1" fontId="5" fillId="3" borderId="1" xfId="0" applyNumberFormat="1" applyFont="1" applyFill="1" applyBorder="1"/>
    <xf numFmtId="0" fontId="4" fillId="5" borderId="1" xfId="0" applyFont="1" applyFill="1" applyBorder="1"/>
    <xf numFmtId="1" fontId="5" fillId="5" borderId="1" xfId="0" applyNumberFormat="1" applyFont="1" applyFill="1" applyBorder="1"/>
    <xf numFmtId="165" fontId="4" fillId="6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/>
    <xf numFmtId="165" fontId="5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 applyProtection="1">
      <alignment horizontal="right"/>
      <protection locked="0"/>
    </xf>
    <xf numFmtId="166" fontId="4" fillId="3" borderId="1" xfId="0" applyNumberFormat="1" applyFont="1" applyFill="1" applyBorder="1" applyAlignment="1" applyProtection="1">
      <alignment horizontal="right"/>
      <protection locked="0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0" fontId="5" fillId="3" borderId="2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164" fontId="5" fillId="5" borderId="1" xfId="0" applyNumberFormat="1" applyFont="1" applyFill="1" applyBorder="1"/>
    <xf numFmtId="165" fontId="4" fillId="5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/>
    <xf numFmtId="164" fontId="4" fillId="3" borderId="1" xfId="0" applyNumberFormat="1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left"/>
    </xf>
    <xf numFmtId="0" fontId="4" fillId="3" borderId="1" xfId="0" applyFont="1" applyFill="1" applyBorder="1"/>
    <xf numFmtId="0" fontId="5" fillId="3" borderId="1" xfId="0" applyFont="1" applyFill="1" applyBorder="1"/>
    <xf numFmtId="0" fontId="6" fillId="2" borderId="1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6" fillId="2" borderId="0" xfId="0" applyFont="1" applyFill="1"/>
    <xf numFmtId="0" fontId="0" fillId="2" borderId="0" xfId="0" applyFill="1"/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1" fillId="5" borderId="1" xfId="0" applyFont="1" applyFill="1" applyBorder="1"/>
    <xf numFmtId="8" fontId="1" fillId="6" borderId="1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Alignment="1">
      <alignment horizontal="left"/>
    </xf>
    <xf numFmtId="8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8" fontId="1" fillId="6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5" borderId="1" xfId="0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165" fontId="1" fillId="6" borderId="1" xfId="0" applyNumberFormat="1" applyFont="1" applyFill="1" applyBorder="1"/>
    <xf numFmtId="10" fontId="0" fillId="0" borderId="1" xfId="0" applyNumberFormat="1" applyBorder="1" applyProtection="1">
      <protection locked="0"/>
    </xf>
    <xf numFmtId="0" fontId="0" fillId="6" borderId="1" xfId="0" applyFill="1" applyBorder="1"/>
    <xf numFmtId="10" fontId="0" fillId="6" borderId="1" xfId="0" applyNumberFormat="1" applyFill="1" applyBorder="1"/>
    <xf numFmtId="8" fontId="0" fillId="6" borderId="1" xfId="0" applyNumberFormat="1" applyFill="1" applyBorder="1"/>
    <xf numFmtId="8" fontId="0" fillId="0" borderId="1" xfId="0" applyNumberFormat="1" applyBorder="1" applyProtection="1">
      <protection locked="0"/>
    </xf>
    <xf numFmtId="0" fontId="1" fillId="7" borderId="1" xfId="0" applyFont="1" applyFill="1" applyBorder="1"/>
    <xf numFmtId="10" fontId="0" fillId="3" borderId="1" xfId="0" applyNumberFormat="1" applyFill="1" applyBorder="1" applyProtection="1">
      <protection locked="0"/>
    </xf>
    <xf numFmtId="0" fontId="1" fillId="3" borderId="0" xfId="0" applyFont="1" applyFill="1"/>
    <xf numFmtId="0" fontId="1" fillId="0" borderId="0" xfId="0" applyFont="1"/>
    <xf numFmtId="165" fontId="1" fillId="3" borderId="0" xfId="0" applyNumberFormat="1" applyFont="1" applyFill="1" applyAlignment="1">
      <alignment horizontal="center"/>
    </xf>
    <xf numFmtId="8" fontId="0" fillId="0" borderId="0" xfId="0" applyNumberFormat="1"/>
    <xf numFmtId="165" fontId="0" fillId="3" borderId="0" xfId="0" applyNumberFormat="1" applyFill="1"/>
    <xf numFmtId="0" fontId="0" fillId="3" borderId="0" xfId="0" applyFill="1"/>
    <xf numFmtId="0" fontId="2" fillId="4" borderId="1" xfId="0" applyFont="1" applyFill="1" applyBorder="1"/>
    <xf numFmtId="8" fontId="4" fillId="4" borderId="1" xfId="0" applyNumberFormat="1" applyFont="1" applyFill="1" applyBorder="1"/>
    <xf numFmtId="165" fontId="6" fillId="4" borderId="1" xfId="0" applyNumberFormat="1" applyFont="1" applyFill="1" applyBorder="1"/>
    <xf numFmtId="0" fontId="6" fillId="4" borderId="1" xfId="0" applyFont="1" applyFill="1" applyBorder="1"/>
    <xf numFmtId="0" fontId="0" fillId="4" borderId="1" xfId="0" applyFill="1" applyBorder="1"/>
    <xf numFmtId="165" fontId="0" fillId="3" borderId="1" xfId="0" applyNumberFormat="1" applyFill="1" applyBorder="1"/>
    <xf numFmtId="0" fontId="8" fillId="9" borderId="1" xfId="0" applyFont="1" applyFill="1" applyBorder="1"/>
    <xf numFmtId="0" fontId="9" fillId="9" borderId="1" xfId="0" applyFont="1" applyFill="1" applyBorder="1"/>
    <xf numFmtId="10" fontId="0" fillId="8" borderId="1" xfId="0" applyNumberFormat="1" applyFill="1" applyBorder="1" applyProtection="1">
      <protection locked="0"/>
    </xf>
    <xf numFmtId="167" fontId="0" fillId="0" borderId="1" xfId="0" applyNumberFormat="1" applyBorder="1" applyProtection="1">
      <protection locked="0"/>
    </xf>
    <xf numFmtId="0" fontId="5" fillId="10" borderId="1" xfId="0" applyFont="1" applyFill="1" applyBorder="1"/>
    <xf numFmtId="0" fontId="0" fillId="10" borderId="1" xfId="0" applyFill="1" applyBorder="1"/>
    <xf numFmtId="167" fontId="0" fillId="10" borderId="1" xfId="0" applyNumberFormat="1" applyFill="1" applyBorder="1" applyProtection="1">
      <protection locked="0"/>
    </xf>
    <xf numFmtId="167" fontId="0" fillId="3" borderId="1" xfId="0" applyNumberFormat="1" applyFill="1" applyBorder="1" applyProtection="1">
      <protection locked="0"/>
    </xf>
    <xf numFmtId="167" fontId="1" fillId="6" borderId="1" xfId="0" applyNumberFormat="1" applyFont="1" applyFill="1" applyBorder="1"/>
    <xf numFmtId="167" fontId="0" fillId="0" borderId="1" xfId="0" applyNumberFormat="1" applyBorder="1"/>
    <xf numFmtId="0" fontId="10" fillId="0" borderId="1" xfId="0" applyFont="1" applyBorder="1"/>
    <xf numFmtId="167" fontId="10" fillId="0" borderId="1" xfId="0" applyNumberFormat="1" applyFont="1" applyBorder="1"/>
    <xf numFmtId="165" fontId="0" fillId="0" borderId="0" xfId="0" applyNumberFormat="1"/>
    <xf numFmtId="10" fontId="0" fillId="0" borderId="0" xfId="0" applyNumberFormat="1"/>
    <xf numFmtId="0" fontId="8" fillId="11" borderId="1" xfId="0" applyFont="1" applyFill="1" applyBorder="1"/>
    <xf numFmtId="0" fontId="9" fillId="11" borderId="1" xfId="0" applyFont="1" applyFill="1" applyBorder="1"/>
    <xf numFmtId="167" fontId="11" fillId="0" borderId="1" xfId="0" applyNumberFormat="1" applyFont="1" applyBorder="1"/>
    <xf numFmtId="0" fontId="5" fillId="12" borderId="1" xfId="0" applyFont="1" applyFill="1" applyBorder="1"/>
    <xf numFmtId="0" fontId="12" fillId="0" borderId="1" xfId="0" applyFont="1" applyBorder="1" applyAlignment="1">
      <alignment wrapText="1"/>
    </xf>
    <xf numFmtId="167" fontId="4" fillId="6" borderId="1" xfId="0" applyNumberFormat="1" applyFont="1" applyFill="1" applyBorder="1"/>
    <xf numFmtId="0" fontId="5" fillId="0" borderId="1" xfId="0" applyFont="1" applyBorder="1"/>
    <xf numFmtId="167" fontId="5" fillId="0" borderId="1" xfId="0" applyNumberFormat="1" applyFont="1" applyBorder="1"/>
    <xf numFmtId="0" fontId="4" fillId="7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167" fontId="0" fillId="6" borderId="1" xfId="0" applyNumberFormat="1" applyFill="1" applyBorder="1"/>
    <xf numFmtId="167" fontId="5" fillId="6" borderId="1" xfId="0" applyNumberFormat="1" applyFont="1" applyFill="1" applyBorder="1"/>
    <xf numFmtId="10" fontId="0" fillId="10" borderId="1" xfId="0" applyNumberFormat="1" applyFill="1" applyBorder="1" applyProtection="1">
      <protection locked="0"/>
    </xf>
    <xf numFmtId="167" fontId="5" fillId="10" borderId="1" xfId="0" applyNumberFormat="1" applyFont="1" applyFill="1" applyBorder="1" applyProtection="1">
      <protection locked="0"/>
    </xf>
    <xf numFmtId="0" fontId="0" fillId="10" borderId="0" xfId="0" applyFill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17" fontId="7" fillId="2" borderId="1" xfId="0" applyNumberFormat="1" applyFont="1" applyFill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6" borderId="1" xfId="0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8" fontId="0" fillId="6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165" fontId="0" fillId="6" borderId="1" xfId="0" applyNumberForma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8" fontId="1" fillId="0" borderId="1" xfId="0" applyNumberFormat="1" applyFont="1" applyBorder="1"/>
    <xf numFmtId="10" fontId="0" fillId="6" borderId="1" xfId="0" applyNumberFormat="1" applyFill="1" applyBorder="1" applyAlignment="1">
      <alignment horizontal="right"/>
    </xf>
    <xf numFmtId="0" fontId="1" fillId="10" borderId="0" xfId="0" applyFont="1" applyFill="1"/>
    <xf numFmtId="0" fontId="1" fillId="10" borderId="1" xfId="0" applyFont="1" applyFill="1" applyBorder="1"/>
    <xf numFmtId="8" fontId="0" fillId="3" borderId="1" xfId="0" applyNumberFormat="1" applyFill="1" applyBorder="1" applyAlignment="1">
      <alignment horizontal="right"/>
    </xf>
    <xf numFmtId="0" fontId="7" fillId="4" borderId="1" xfId="0" applyFont="1" applyFill="1" applyBorder="1" applyAlignment="1">
      <alignment horizontal="justify" vertical="justify"/>
    </xf>
    <xf numFmtId="0" fontId="0" fillId="3" borderId="1" xfId="0" applyFill="1" applyBorder="1" applyAlignment="1" applyProtection="1">
      <alignment horizontal="justify" vertical="justify"/>
      <protection locked="0"/>
    </xf>
    <xf numFmtId="0" fontId="0" fillId="0" borderId="1" xfId="0" applyBorder="1" applyAlignment="1" applyProtection="1">
      <alignment horizontal="center" vertical="justify"/>
      <protection locked="0"/>
    </xf>
    <xf numFmtId="165" fontId="0" fillId="6" borderId="1" xfId="0" applyNumberFormat="1" applyFill="1" applyBorder="1"/>
    <xf numFmtId="8" fontId="0" fillId="0" borderId="1" xfId="0" applyNumberFormat="1" applyBorder="1" applyAlignment="1" applyProtection="1">
      <alignment horizontal="right" vertical="justify"/>
      <protection locked="0"/>
    </xf>
    <xf numFmtId="0" fontId="0" fillId="0" borderId="1" xfId="0" applyBorder="1" applyAlignment="1">
      <alignment horizontal="justify" vertical="justify"/>
    </xf>
    <xf numFmtId="8" fontId="0" fillId="6" borderId="1" xfId="0" applyNumberFormat="1" applyFill="1" applyBorder="1" applyAlignment="1">
      <alignment horizontal="right" vertical="justify"/>
    </xf>
    <xf numFmtId="0" fontId="1" fillId="6" borderId="1" xfId="0" applyFont="1" applyFill="1" applyBorder="1"/>
    <xf numFmtId="9" fontId="0" fillId="0" borderId="1" xfId="0" applyNumberFormat="1" applyBorder="1"/>
    <xf numFmtId="0" fontId="1" fillId="0" borderId="1" xfId="0" applyFont="1" applyBorder="1"/>
    <xf numFmtId="167" fontId="0" fillId="10" borderId="1" xfId="0" applyNumberFormat="1" applyFill="1" applyBorder="1"/>
    <xf numFmtId="167" fontId="0" fillId="3" borderId="1" xfId="0" applyNumberFormat="1" applyFill="1" applyBorder="1"/>
    <xf numFmtId="9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10" borderId="1" xfId="0" applyFill="1" applyBorder="1" applyProtection="1">
      <protection locked="0"/>
    </xf>
    <xf numFmtId="0" fontId="1" fillId="14" borderId="0" xfId="0" applyFont="1" applyFill="1"/>
    <xf numFmtId="0" fontId="13" fillId="14" borderId="0" xfId="0" applyFont="1" applyFill="1"/>
    <xf numFmtId="0" fontId="0" fillId="3" borderId="1" xfId="0" applyFill="1" applyBorder="1" applyAlignment="1">
      <alignment horizontal="justify" vertical="justify"/>
    </xf>
    <xf numFmtId="8" fontId="0" fillId="3" borderId="1" xfId="0" applyNumberFormat="1" applyFill="1" applyBorder="1"/>
    <xf numFmtId="165" fontId="1" fillId="3" borderId="1" xfId="0" applyNumberFormat="1" applyFont="1" applyFill="1" applyBorder="1"/>
    <xf numFmtId="0" fontId="5" fillId="3" borderId="2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5" fillId="5" borderId="1" xfId="0" applyFont="1" applyFill="1" applyBorder="1" applyAlignment="1">
      <alignment horizont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center" wrapText="1"/>
      <protection locked="0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8" fontId="0" fillId="6" borderId="1" xfId="0" applyNumberFormat="1" applyFill="1" applyBorder="1" applyAlignment="1">
      <alignment horizontal="center"/>
    </xf>
    <xf numFmtId="10" fontId="0" fillId="0" borderId="1" xfId="0" applyNumberFormat="1" applyBorder="1" applyAlignment="1" applyProtection="1">
      <alignment horizontal="center"/>
      <protection locked="0"/>
    </xf>
    <xf numFmtId="10" fontId="0" fillId="8" borderId="2" xfId="0" applyNumberFormat="1" applyFill="1" applyBorder="1" applyAlignment="1" applyProtection="1">
      <alignment horizontal="center"/>
      <protection locked="0"/>
    </xf>
    <xf numFmtId="10" fontId="0" fillId="8" borderId="4" xfId="0" applyNumberFormat="1" applyFill="1" applyBorder="1" applyAlignment="1" applyProtection="1">
      <alignment horizontal="center"/>
      <protection locked="0"/>
    </xf>
    <xf numFmtId="10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0" fontId="0" fillId="6" borderId="2" xfId="0" applyNumberFormat="1" applyFill="1" applyBorder="1" applyAlignment="1">
      <alignment horizontal="center"/>
    </xf>
    <xf numFmtId="10" fontId="0" fillId="6" borderId="4" xfId="0" applyNumberFormat="1" applyFill="1" applyBorder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8" borderId="2" xfId="0" applyNumberFormat="1" applyFill="1" applyBorder="1" applyAlignment="1" applyProtection="1">
      <alignment horizontal="center"/>
      <protection locked="0"/>
    </xf>
    <xf numFmtId="165" fontId="0" fillId="8" borderId="4" xfId="0" applyNumberFormat="1" applyFill="1" applyBorder="1" applyAlignment="1" applyProtection="1">
      <alignment horizontal="center"/>
      <protection locked="0"/>
    </xf>
    <xf numFmtId="165" fontId="1" fillId="6" borderId="2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8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8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vs Projected Value of Assets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Overview!$A$10</c:f>
              <c:strCache>
                <c:ptCount val="1"/>
                <c:pt idx="0">
                  <c:v>Current value of assets to provide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Overview!$B$10</c:f>
              <c:numCache>
                <c:formatCode>"£"#,##0.00_);[Red]\("£"#,##0.00\)</c:formatCode>
                <c:ptCount val="1"/>
                <c:pt idx="0">
                  <c:v>1470295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C-4B7E-95E4-116432864C1A}"/>
            </c:ext>
          </c:extLst>
        </c:ser>
        <c:ser>
          <c:idx val="1"/>
          <c:order val="1"/>
          <c:tx>
            <c:strRef>
              <c:f>Overview!$A$11</c:f>
              <c:strCache>
                <c:ptCount val="1"/>
                <c:pt idx="0">
                  <c:v>Projected value of assets to provide income (including regular investments)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Overview!$B$11</c:f>
              <c:numCache>
                <c:formatCode>"£"#,##0.00_);[Red]\("£"#,##0.00\)</c:formatCode>
                <c:ptCount val="1"/>
                <c:pt idx="0">
                  <c:v>1539632.7000000002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C-4B7E-95E4-116432864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580944"/>
        <c:axId val="582577992"/>
      </c:barChart>
      <c:catAx>
        <c:axId val="582580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82577992"/>
        <c:crosses val="autoZero"/>
        <c:auto val="1"/>
        <c:lblAlgn val="ctr"/>
        <c:lblOffset val="100"/>
        <c:noMultiLvlLbl val="0"/>
      </c:catAx>
      <c:valAx>
        <c:axId val="582577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_);[Red]\(&quot;£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58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Target vs Projected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Overview!$A$13</c:f>
              <c:strCache>
                <c:ptCount val="1"/>
                <c:pt idx="0">
                  <c:v>Target Income after tax (in today's figures) (per month)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Overview!$B$13</c:f>
              <c:numCache>
                <c:formatCode>"£"#,##0.00</c:formatCode>
                <c:ptCount val="1"/>
                <c:pt idx="0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3-4F26-87AE-C19EC6A41A9F}"/>
            </c:ext>
          </c:extLst>
        </c:ser>
        <c:ser>
          <c:idx val="1"/>
          <c:order val="1"/>
          <c:tx>
            <c:strRef>
              <c:f>Overview!$A$14</c:f>
              <c:strCache>
                <c:ptCount val="1"/>
                <c:pt idx="0">
                  <c:v>Target Income after tax (inc inflation) (per month)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Overview!$B$14</c:f>
              <c:numCache>
                <c:formatCode>"£"#,##0.00</c:formatCode>
                <c:ptCount val="1"/>
                <c:pt idx="0">
                  <c:v>3090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3-4F26-87AE-C19EC6A41A9F}"/>
            </c:ext>
          </c:extLst>
        </c:ser>
        <c:ser>
          <c:idx val="2"/>
          <c:order val="2"/>
          <c:tx>
            <c:strRef>
              <c:f>Overview!$A$15</c:f>
              <c:strCache>
                <c:ptCount val="1"/>
                <c:pt idx="0">
                  <c:v>Projected Income after tax (per month)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Overview!$B$15</c:f>
              <c:numCache>
                <c:formatCode>"£"#,##0.00</c:formatCode>
                <c:ptCount val="1"/>
                <c:pt idx="0">
                  <c:v>3390.7762166666676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3-4F26-87AE-C19EC6A41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0658520"/>
        <c:axId val="590658848"/>
      </c:barChart>
      <c:catAx>
        <c:axId val="590658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658848"/>
        <c:crosses val="autoZero"/>
        <c:auto val="1"/>
        <c:lblAlgn val="ctr"/>
        <c:lblOffset val="100"/>
        <c:noMultiLvlLbl val="0"/>
      </c:catAx>
      <c:valAx>
        <c:axId val="59065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658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Income at Starting Age vs State Pension Age </a:t>
            </a:r>
          </a:p>
          <a:p>
            <a:pPr>
              <a:defRPr/>
            </a:pPr>
            <a:r>
              <a:rPr lang="en-GB"/>
              <a:t>vs Target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Overview!$C$19</c:f>
              <c:strCache>
                <c:ptCount val="1"/>
                <c:pt idx="0">
                  <c:v>Projected Income at Starting Age after tax (per month)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Overview!$D$19</c:f>
              <c:numCache>
                <c:formatCode>"£"#,##0.00</c:formatCode>
                <c:ptCount val="1"/>
                <c:pt idx="0">
                  <c:v>3390.7762166666676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7-4788-B53D-734D5AD9F90E}"/>
            </c:ext>
          </c:extLst>
        </c:ser>
        <c:ser>
          <c:idx val="1"/>
          <c:order val="1"/>
          <c:tx>
            <c:strRef>
              <c:f>Overview!$C$20</c:f>
              <c:strCache>
                <c:ptCount val="1"/>
                <c:pt idx="0">
                  <c:v>Target Income after tax (inc inflation) (per month)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Overview!$D$20</c:f>
              <c:numCache>
                <c:formatCode>"£"#,##0.00</c:formatCode>
                <c:ptCount val="1"/>
                <c:pt idx="0">
                  <c:v>4405.6011403546918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7-4788-B53D-734D5AD9F90E}"/>
            </c:ext>
          </c:extLst>
        </c:ser>
        <c:ser>
          <c:idx val="2"/>
          <c:order val="2"/>
          <c:tx>
            <c:strRef>
              <c:f>Overview!$C$21</c:f>
              <c:strCache>
                <c:ptCount val="1"/>
                <c:pt idx="0">
                  <c:v>Projected Income at State Pension Age after tax (per month)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Overview!$D$21</c:f>
              <c:numCache>
                <c:formatCode>"£"#,##0.00</c:formatCode>
                <c:ptCount val="1"/>
                <c:pt idx="0">
                  <c:v>4288.9676917131701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7-4788-B53D-734D5AD9F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89422016"/>
        <c:axId val="385815728"/>
      </c:barChart>
      <c:catAx>
        <c:axId val="589422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85815728"/>
        <c:crosses val="autoZero"/>
        <c:auto val="1"/>
        <c:lblAlgn val="ctr"/>
        <c:lblOffset val="100"/>
        <c:noMultiLvlLbl val="0"/>
      </c:catAx>
      <c:valAx>
        <c:axId val="38581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4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0</xdr:row>
      <xdr:rowOff>0</xdr:rowOff>
    </xdr:from>
    <xdr:to>
      <xdr:col>9</xdr:col>
      <xdr:colOff>335280</xdr:colOff>
      <xdr:row>16</xdr:row>
      <xdr:rowOff>22860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EDD686-1429-46CC-88D2-CA6453BC9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327660</xdr:colOff>
      <xdr:row>0</xdr:row>
      <xdr:rowOff>0</xdr:rowOff>
    </xdr:from>
    <xdr:to>
      <xdr:col>17</xdr:col>
      <xdr:colOff>22860</xdr:colOff>
      <xdr:row>16</xdr:row>
      <xdr:rowOff>22860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927811-E1E7-4802-885A-DB8719587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22860</xdr:colOff>
      <xdr:row>16</xdr:row>
      <xdr:rowOff>3810</xdr:rowOff>
    </xdr:from>
    <xdr:to>
      <xdr:col>9</xdr:col>
      <xdr:colOff>327660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14F80B-2BB6-41A8-BF21-32ABB29B1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A9BA-3373-47B2-9596-8073004976E5}">
  <dimension ref="A1:M38"/>
  <sheetViews>
    <sheetView topLeftCell="A12" workbookViewId="0">
      <selection activeCell="F36" sqref="F36"/>
    </sheetView>
  </sheetViews>
  <sheetFormatPr defaultRowHeight="14.5"/>
  <cols>
    <col min="5" max="5" width="11.1796875" customWidth="1"/>
    <col min="10" max="10" width="12.08984375" customWidth="1"/>
  </cols>
  <sheetData>
    <row r="1" spans="1:13" ht="23.5">
      <c r="A1" s="1" t="s">
        <v>117</v>
      </c>
      <c r="B1" s="2"/>
      <c r="C1" s="2"/>
      <c r="D1" s="2"/>
      <c r="E1" s="2"/>
      <c r="F1" s="2"/>
      <c r="G1" s="2"/>
      <c r="H1" s="2"/>
      <c r="I1" s="2"/>
      <c r="J1" s="3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3">
      <c r="A3" s="5" t="s">
        <v>0</v>
      </c>
      <c r="B3" s="6"/>
      <c r="C3" s="6"/>
      <c r="D3" s="5" t="s">
        <v>1</v>
      </c>
      <c r="E3" s="7"/>
      <c r="F3" s="7"/>
      <c r="G3" s="6"/>
      <c r="H3" s="6"/>
      <c r="I3" s="6"/>
      <c r="J3" s="8" t="s">
        <v>2</v>
      </c>
    </row>
    <row r="4" spans="1:13">
      <c r="A4" s="9" t="s">
        <v>3</v>
      </c>
      <c r="B4" s="10"/>
      <c r="C4" s="10"/>
      <c r="D4" s="161"/>
      <c r="E4" s="161"/>
      <c r="F4" s="161"/>
      <c r="G4" s="10"/>
      <c r="H4" s="10"/>
      <c r="I4" s="10"/>
      <c r="J4" s="12">
        <f>J36</f>
        <v>3000</v>
      </c>
    </row>
    <row r="5" spans="1:13">
      <c r="A5" s="148" t="s">
        <v>4</v>
      </c>
      <c r="B5" s="149"/>
      <c r="C5" s="150"/>
      <c r="D5" s="161"/>
      <c r="E5" s="161"/>
      <c r="F5" s="161"/>
      <c r="G5" s="10"/>
      <c r="H5" s="10"/>
      <c r="I5" s="10"/>
      <c r="J5" s="11">
        <v>0</v>
      </c>
    </row>
    <row r="6" spans="1:13">
      <c r="A6" s="157"/>
      <c r="B6" s="158"/>
      <c r="C6" s="159"/>
      <c r="D6" s="160"/>
      <c r="E6" s="160"/>
      <c r="F6" s="160"/>
      <c r="G6" s="13"/>
      <c r="H6" s="13"/>
      <c r="I6" s="13"/>
      <c r="J6" s="12"/>
    </row>
    <row r="7" spans="1:13">
      <c r="A7" s="14" t="s">
        <v>5</v>
      </c>
      <c r="B7" s="15"/>
      <c r="C7" s="15"/>
      <c r="D7" s="156"/>
      <c r="E7" s="156"/>
      <c r="F7" s="156"/>
      <c r="G7" s="15"/>
      <c r="H7" s="15"/>
      <c r="I7" s="15"/>
      <c r="J7" s="16">
        <f>SUM(J4:J6)</f>
        <v>3000</v>
      </c>
    </row>
    <row r="8" spans="1:13">
      <c r="A8" s="17"/>
      <c r="B8" s="17"/>
      <c r="C8" s="17"/>
      <c r="D8" s="17"/>
      <c r="E8" s="17"/>
      <c r="F8" s="17"/>
      <c r="G8" s="17"/>
      <c r="H8" s="17"/>
      <c r="I8" s="17"/>
      <c r="J8" s="18"/>
    </row>
    <row r="9" spans="1:13">
      <c r="A9" s="19" t="s">
        <v>6</v>
      </c>
      <c r="B9" s="17"/>
      <c r="C9" s="17"/>
      <c r="D9" s="17"/>
      <c r="E9" s="17"/>
      <c r="F9" s="17"/>
      <c r="G9" s="17"/>
      <c r="H9" s="17"/>
      <c r="I9" s="17"/>
      <c r="J9" s="18"/>
    </row>
    <row r="10" spans="1:13">
      <c r="A10" s="13"/>
      <c r="B10" s="20"/>
      <c r="C10" s="20"/>
      <c r="D10" s="20"/>
      <c r="E10" s="20"/>
      <c r="F10" s="20"/>
      <c r="G10" s="20"/>
      <c r="H10" s="20"/>
      <c r="I10" s="20"/>
      <c r="J10" s="18"/>
    </row>
    <row r="11" spans="1:13" ht="87">
      <c r="A11" s="24" t="s">
        <v>7</v>
      </c>
      <c r="B11" s="25"/>
      <c r="C11" s="25"/>
      <c r="D11" s="22" t="s">
        <v>8</v>
      </c>
      <c r="E11" s="22" t="s">
        <v>9</v>
      </c>
      <c r="F11" s="22" t="s">
        <v>10</v>
      </c>
      <c r="G11" s="21"/>
      <c r="H11" s="21"/>
      <c r="I11" s="21"/>
      <c r="J11" s="23" t="s">
        <v>11</v>
      </c>
    </row>
    <row r="12" spans="1:13">
      <c r="A12" s="148" t="s">
        <v>12</v>
      </c>
      <c r="B12" s="149"/>
      <c r="C12" s="150"/>
      <c r="D12" s="26"/>
      <c r="E12" s="26">
        <v>0</v>
      </c>
      <c r="F12" s="26"/>
      <c r="G12" s="27"/>
      <c r="H12" s="27"/>
      <c r="I12" s="27"/>
      <c r="J12" s="16">
        <f t="shared" ref="J12:J31" si="0">SUM(4.3*D12)+E12+F12</f>
        <v>0</v>
      </c>
      <c r="L12" t="s">
        <v>92</v>
      </c>
      <c r="M12" t="s">
        <v>93</v>
      </c>
    </row>
    <row r="13" spans="1:13">
      <c r="A13" s="148" t="s">
        <v>13</v>
      </c>
      <c r="B13" s="149"/>
      <c r="C13" s="150"/>
      <c r="D13" s="26"/>
      <c r="E13" s="26">
        <v>0</v>
      </c>
      <c r="F13" s="26"/>
      <c r="G13" s="27"/>
      <c r="H13" s="27"/>
      <c r="I13" s="27"/>
      <c r="J13" s="16">
        <f t="shared" si="0"/>
        <v>0</v>
      </c>
      <c r="M13" t="s">
        <v>114</v>
      </c>
    </row>
    <row r="14" spans="1:13">
      <c r="A14" s="148" t="s">
        <v>14</v>
      </c>
      <c r="B14" s="149"/>
      <c r="C14" s="150"/>
      <c r="D14" s="26"/>
      <c r="E14" s="26">
        <v>0</v>
      </c>
      <c r="F14" s="26"/>
      <c r="G14" s="27"/>
      <c r="H14" s="27"/>
      <c r="I14" s="28"/>
      <c r="J14" s="16">
        <f t="shared" si="0"/>
        <v>0</v>
      </c>
      <c r="M14" t="s">
        <v>116</v>
      </c>
    </row>
    <row r="15" spans="1:13">
      <c r="A15" s="148" t="s">
        <v>15</v>
      </c>
      <c r="B15" s="149"/>
      <c r="C15" s="150"/>
      <c r="D15" s="26"/>
      <c r="E15" s="26">
        <v>0</v>
      </c>
      <c r="F15" s="26"/>
      <c r="G15" s="27"/>
      <c r="H15" s="27"/>
      <c r="I15" s="28"/>
      <c r="J15" s="16">
        <f t="shared" si="0"/>
        <v>0</v>
      </c>
      <c r="M15" t="s">
        <v>94</v>
      </c>
    </row>
    <row r="16" spans="1:13">
      <c r="A16" s="148" t="s">
        <v>16</v>
      </c>
      <c r="B16" s="149"/>
      <c r="C16" s="150"/>
      <c r="D16" s="26"/>
      <c r="E16" s="26">
        <v>0</v>
      </c>
      <c r="F16" s="26"/>
      <c r="G16" s="27"/>
      <c r="H16" s="27"/>
      <c r="I16" s="28"/>
      <c r="J16" s="16">
        <f t="shared" si="0"/>
        <v>0</v>
      </c>
    </row>
    <row r="17" spans="1:13">
      <c r="A17" s="148" t="s">
        <v>17</v>
      </c>
      <c r="B17" s="149"/>
      <c r="C17" s="150"/>
      <c r="D17" s="26"/>
      <c r="E17" s="26">
        <v>0</v>
      </c>
      <c r="F17" s="26"/>
      <c r="G17" s="27"/>
      <c r="H17" s="27"/>
      <c r="I17" s="28"/>
      <c r="J17" s="16">
        <f t="shared" si="0"/>
        <v>0</v>
      </c>
      <c r="M17" t="s">
        <v>95</v>
      </c>
    </row>
    <row r="18" spans="1:13">
      <c r="A18" s="29" t="s">
        <v>18</v>
      </c>
      <c r="B18" s="30"/>
      <c r="C18" s="31"/>
      <c r="D18" s="26"/>
      <c r="E18" s="26">
        <v>0</v>
      </c>
      <c r="F18" s="26"/>
      <c r="G18" s="27"/>
      <c r="H18" s="27"/>
      <c r="I18" s="28"/>
      <c r="J18" s="16">
        <f t="shared" si="0"/>
        <v>0</v>
      </c>
    </row>
    <row r="19" spans="1:13">
      <c r="A19" s="148" t="s">
        <v>19</v>
      </c>
      <c r="B19" s="149"/>
      <c r="C19" s="150"/>
      <c r="D19" s="26"/>
      <c r="E19" s="26">
        <v>0</v>
      </c>
      <c r="F19" s="26"/>
      <c r="G19" s="27"/>
      <c r="H19" s="27"/>
      <c r="I19" s="28"/>
      <c r="J19" s="16">
        <f t="shared" si="0"/>
        <v>0</v>
      </c>
    </row>
    <row r="20" spans="1:13">
      <c r="A20" s="148" t="s">
        <v>20</v>
      </c>
      <c r="B20" s="149"/>
      <c r="C20" s="150"/>
      <c r="D20" s="26"/>
      <c r="E20" s="26">
        <v>0</v>
      </c>
      <c r="F20" s="26"/>
      <c r="G20" s="27"/>
      <c r="H20" s="27"/>
      <c r="I20" s="28"/>
      <c r="J20" s="16">
        <f t="shared" si="0"/>
        <v>0</v>
      </c>
    </row>
    <row r="21" spans="1:13">
      <c r="A21" s="148" t="s">
        <v>21</v>
      </c>
      <c r="B21" s="149"/>
      <c r="C21" s="150"/>
      <c r="D21" s="26"/>
      <c r="E21" s="26">
        <v>0</v>
      </c>
      <c r="F21" s="26"/>
      <c r="G21" s="27"/>
      <c r="H21" s="27"/>
      <c r="I21" s="28"/>
      <c r="J21" s="16">
        <f t="shared" si="0"/>
        <v>0</v>
      </c>
    </row>
    <row r="22" spans="1:13">
      <c r="A22" s="148" t="s">
        <v>22</v>
      </c>
      <c r="B22" s="149"/>
      <c r="C22" s="150"/>
      <c r="D22" s="26"/>
      <c r="E22" s="26"/>
      <c r="F22" s="26">
        <v>3000</v>
      </c>
      <c r="G22" s="27"/>
      <c r="H22" s="27"/>
      <c r="I22" s="28"/>
      <c r="J22" s="16">
        <f t="shared" si="0"/>
        <v>3000</v>
      </c>
    </row>
    <row r="23" spans="1:13">
      <c r="A23" s="148" t="s">
        <v>23</v>
      </c>
      <c r="B23" s="149"/>
      <c r="C23" s="150"/>
      <c r="D23" s="26">
        <v>0</v>
      </c>
      <c r="E23" s="26"/>
      <c r="F23" s="26"/>
      <c r="G23" s="27"/>
      <c r="H23" s="27"/>
      <c r="I23" s="28"/>
      <c r="J23" s="16">
        <f t="shared" si="0"/>
        <v>0</v>
      </c>
    </row>
    <row r="24" spans="1:13">
      <c r="A24" s="148" t="s">
        <v>115</v>
      </c>
      <c r="B24" s="154"/>
      <c r="C24" s="155"/>
      <c r="D24" s="26">
        <v>0</v>
      </c>
      <c r="E24" s="26"/>
      <c r="F24" s="26"/>
      <c r="G24" s="27"/>
      <c r="H24" s="27"/>
      <c r="I24" s="28"/>
      <c r="J24" s="16">
        <f t="shared" si="0"/>
        <v>0</v>
      </c>
    </row>
    <row r="25" spans="1:13">
      <c r="A25" s="148" t="s">
        <v>24</v>
      </c>
      <c r="B25" s="149"/>
      <c r="C25" s="150"/>
      <c r="D25" s="26">
        <v>0</v>
      </c>
      <c r="E25" s="26"/>
      <c r="F25" s="26"/>
      <c r="G25" s="27"/>
      <c r="H25" s="27"/>
      <c r="I25" s="28"/>
      <c r="J25" s="16">
        <f t="shared" si="0"/>
        <v>0</v>
      </c>
    </row>
    <row r="26" spans="1:13">
      <c r="A26" s="148"/>
      <c r="B26" s="149"/>
      <c r="C26" s="150"/>
      <c r="D26" s="26"/>
      <c r="E26" s="26"/>
      <c r="F26" s="26"/>
      <c r="G26" s="27"/>
      <c r="H26" s="27"/>
      <c r="I26" s="28"/>
      <c r="J26" s="16">
        <f t="shared" si="0"/>
        <v>0</v>
      </c>
    </row>
    <row r="27" spans="1:13">
      <c r="A27" s="148"/>
      <c r="B27" s="149"/>
      <c r="C27" s="150"/>
      <c r="D27" s="26"/>
      <c r="E27" s="26"/>
      <c r="F27" s="26"/>
      <c r="G27" s="27"/>
      <c r="H27" s="27"/>
      <c r="I27" s="28"/>
      <c r="J27" s="16">
        <f t="shared" si="0"/>
        <v>0</v>
      </c>
    </row>
    <row r="28" spans="1:13">
      <c r="A28" s="148"/>
      <c r="B28" s="149"/>
      <c r="C28" s="150"/>
      <c r="D28" s="26"/>
      <c r="E28" s="26"/>
      <c r="F28" s="26"/>
      <c r="G28" s="27"/>
      <c r="H28" s="27"/>
      <c r="I28" s="28"/>
      <c r="J28" s="16">
        <f t="shared" si="0"/>
        <v>0</v>
      </c>
    </row>
    <row r="29" spans="1:13">
      <c r="A29" s="151"/>
      <c r="B29" s="152"/>
      <c r="C29" s="153"/>
      <c r="D29" s="26"/>
      <c r="E29" s="26"/>
      <c r="F29" s="26"/>
      <c r="G29" s="27"/>
      <c r="H29" s="27"/>
      <c r="I29" s="28"/>
      <c r="J29" s="16">
        <f t="shared" si="0"/>
        <v>0</v>
      </c>
    </row>
    <row r="30" spans="1:13">
      <c r="A30" s="148"/>
      <c r="B30" s="149"/>
      <c r="C30" s="150"/>
      <c r="D30" s="26"/>
      <c r="E30" s="26"/>
      <c r="F30" s="26"/>
      <c r="G30" s="27"/>
      <c r="H30" s="27"/>
      <c r="I30" s="28"/>
      <c r="J30" s="16">
        <f t="shared" si="0"/>
        <v>0</v>
      </c>
    </row>
    <row r="31" spans="1:13">
      <c r="A31" s="148"/>
      <c r="B31" s="149"/>
      <c r="C31" s="150"/>
      <c r="D31" s="26"/>
      <c r="E31" s="26"/>
      <c r="F31" s="26"/>
      <c r="G31" s="27"/>
      <c r="H31" s="27"/>
      <c r="I31" s="28"/>
      <c r="J31" s="16">
        <f t="shared" si="0"/>
        <v>0</v>
      </c>
    </row>
    <row r="32" spans="1:13">
      <c r="A32" s="14" t="s">
        <v>25</v>
      </c>
      <c r="B32" s="32"/>
      <c r="C32" s="32"/>
      <c r="D32" s="33">
        <f>SUM(D12:D31)</f>
        <v>0</v>
      </c>
      <c r="E32" s="33">
        <f>SUM(E12:E31)</f>
        <v>0</v>
      </c>
      <c r="F32" s="33">
        <f>SUM(F12:F31)</f>
        <v>3000</v>
      </c>
      <c r="G32" s="34"/>
      <c r="H32" s="34"/>
      <c r="I32" s="34"/>
      <c r="J32" s="16">
        <f>SUM(J12:J31)</f>
        <v>3000</v>
      </c>
    </row>
    <row r="33" spans="1:10">
      <c r="A33" s="35"/>
      <c r="B33" s="17"/>
      <c r="C33" s="17"/>
      <c r="D33" s="36"/>
      <c r="E33" s="36"/>
      <c r="F33" s="36"/>
      <c r="G33" s="36"/>
      <c r="H33" s="36"/>
      <c r="I33" s="36"/>
      <c r="J33" s="37"/>
    </row>
    <row r="34" spans="1:10">
      <c r="A34" s="13"/>
      <c r="B34" s="13"/>
      <c r="C34" s="13"/>
      <c r="D34" s="13"/>
      <c r="E34" s="13"/>
      <c r="F34" s="13"/>
      <c r="G34" s="13"/>
      <c r="H34" s="13"/>
      <c r="I34" s="13"/>
      <c r="J34" s="38"/>
    </row>
    <row r="35" spans="1:10">
      <c r="A35" s="13"/>
      <c r="B35" s="13"/>
      <c r="C35" s="13"/>
      <c r="D35" s="19" t="s">
        <v>26</v>
      </c>
      <c r="E35" s="36"/>
      <c r="F35" s="39"/>
      <c r="G35" s="39"/>
      <c r="H35" s="39"/>
      <c r="I35" s="39"/>
      <c r="J35" s="16">
        <f>J7</f>
        <v>3000</v>
      </c>
    </row>
    <row r="36" spans="1:10">
      <c r="A36" s="13"/>
      <c r="B36" s="13"/>
      <c r="C36" s="13"/>
      <c r="D36" s="40" t="s">
        <v>27</v>
      </c>
      <c r="E36" s="35"/>
      <c r="F36" s="13"/>
      <c r="G36" s="13"/>
      <c r="H36" s="13"/>
      <c r="I36" s="13"/>
      <c r="J36" s="16">
        <f>J32</f>
        <v>3000</v>
      </c>
    </row>
    <row r="37" spans="1:10">
      <c r="A37" s="35"/>
      <c r="B37" s="13"/>
      <c r="C37" s="13"/>
      <c r="D37" s="40" t="s">
        <v>28</v>
      </c>
      <c r="E37" s="35"/>
      <c r="F37" s="13"/>
      <c r="G37" s="13"/>
      <c r="H37" s="13"/>
      <c r="I37" s="13"/>
      <c r="J37" s="16">
        <f>J35-J36</f>
        <v>0</v>
      </c>
    </row>
    <row r="38" spans="1:10">
      <c r="A38" s="41"/>
      <c r="B38" s="41"/>
      <c r="C38" s="41"/>
      <c r="D38" s="41"/>
      <c r="E38" s="41"/>
      <c r="F38" s="41"/>
      <c r="G38" s="41"/>
      <c r="H38" s="41"/>
      <c r="I38" s="41"/>
      <c r="J38" s="18"/>
    </row>
  </sheetData>
  <sheetProtection algorithmName="SHA-512" hashValue="r5GA92lsb/L5oGOAcx2PAT416su6PEs4E8OqNeKrN3cIYr83Svoekn0wSgy2a/TPumV0gGyvIf+lLnSk8BD69g==" saltValue="TUb4s2WVmBICTNVXVq+Rww==" spinCount="100000" sheet="1" objects="1" scenarios="1"/>
  <mergeCells count="25">
    <mergeCell ref="A6:C6"/>
    <mergeCell ref="D6:F6"/>
    <mergeCell ref="D4:F4"/>
    <mergeCell ref="A5:C5"/>
    <mergeCell ref="D5:F5"/>
    <mergeCell ref="D7:F7"/>
    <mergeCell ref="A12:C12"/>
    <mergeCell ref="A13:C13"/>
    <mergeCell ref="A14:C14"/>
    <mergeCell ref="A15:C15"/>
    <mergeCell ref="A16:C16"/>
    <mergeCell ref="A17:C17"/>
    <mergeCell ref="A19:C19"/>
    <mergeCell ref="A20:C20"/>
    <mergeCell ref="A21:C21"/>
    <mergeCell ref="A22:C22"/>
    <mergeCell ref="A23:C23"/>
    <mergeCell ref="A24:C24"/>
    <mergeCell ref="A25:C25"/>
    <mergeCell ref="A26:C26"/>
    <mergeCell ref="A30:C30"/>
    <mergeCell ref="A31:C31"/>
    <mergeCell ref="A27:C27"/>
    <mergeCell ref="A28:C28"/>
    <mergeCell ref="A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2442-5B02-4EF2-B96C-701071E724EA}">
  <dimension ref="A1:J21"/>
  <sheetViews>
    <sheetView workbookViewId="0">
      <selection activeCell="C7" sqref="C7"/>
    </sheetView>
  </sheetViews>
  <sheetFormatPr defaultRowHeight="14.5"/>
  <cols>
    <col min="1" max="1" width="34" customWidth="1"/>
    <col min="2" max="2" width="20.36328125" customWidth="1"/>
    <col min="3" max="3" width="27.453125" customWidth="1"/>
  </cols>
  <sheetData>
    <row r="1" spans="1:10" ht="23.5">
      <c r="A1" s="42" t="s">
        <v>78</v>
      </c>
      <c r="B1" s="43"/>
      <c r="C1" s="44"/>
    </row>
    <row r="2" spans="1:10">
      <c r="A2" s="162"/>
      <c r="B2" s="163"/>
      <c r="C2" s="164"/>
    </row>
    <row r="3" spans="1:10">
      <c r="A3" s="48"/>
      <c r="B3" s="48"/>
      <c r="C3" s="56"/>
    </row>
    <row r="4" spans="1:10">
      <c r="A4" s="52" t="s">
        <v>29</v>
      </c>
      <c r="B4" s="52" t="s">
        <v>30</v>
      </c>
      <c r="C4" s="52" t="s">
        <v>31</v>
      </c>
    </row>
    <row r="5" spans="1:10">
      <c r="A5" s="53" t="s">
        <v>32</v>
      </c>
      <c r="B5" s="53" t="s">
        <v>32</v>
      </c>
      <c r="C5" s="54">
        <v>651710</v>
      </c>
    </row>
    <row r="6" spans="1:10">
      <c r="A6" s="53" t="s">
        <v>33</v>
      </c>
      <c r="B6" s="53" t="s">
        <v>144</v>
      </c>
      <c r="C6" s="54">
        <v>151451</v>
      </c>
    </row>
    <row r="7" spans="1:10">
      <c r="A7" s="53" t="s">
        <v>35</v>
      </c>
      <c r="B7" s="53" t="s">
        <v>41</v>
      </c>
      <c r="C7" s="54">
        <v>472000</v>
      </c>
    </row>
    <row r="8" spans="1:10">
      <c r="A8" s="53" t="s">
        <v>36</v>
      </c>
      <c r="B8" s="53" t="s">
        <v>41</v>
      </c>
      <c r="C8" s="54">
        <v>0</v>
      </c>
    </row>
    <row r="9" spans="1:10">
      <c r="A9" s="53" t="s">
        <v>37</v>
      </c>
      <c r="B9" s="53" t="s">
        <v>34</v>
      </c>
      <c r="C9" s="54">
        <v>195134</v>
      </c>
      <c r="D9" s="125" t="s">
        <v>83</v>
      </c>
      <c r="E9" s="112"/>
      <c r="F9" s="112"/>
      <c r="G9" s="112"/>
      <c r="H9" s="112"/>
      <c r="I9" s="112"/>
      <c r="J9" s="112"/>
    </row>
    <row r="10" spans="1:10">
      <c r="A10" s="55"/>
      <c r="B10" s="55"/>
      <c r="C10" s="57"/>
    </row>
    <row r="11" spans="1:10">
      <c r="A11" s="50" t="s">
        <v>84</v>
      </c>
      <c r="B11" s="50" t="s">
        <v>40</v>
      </c>
      <c r="C11" s="59">
        <f>C5+C9</f>
        <v>846844</v>
      </c>
    </row>
    <row r="12" spans="1:10">
      <c r="A12" s="61"/>
      <c r="B12" s="50" t="s">
        <v>41</v>
      </c>
      <c r="C12" s="59">
        <f>C7</f>
        <v>472000</v>
      </c>
    </row>
    <row r="13" spans="1:10">
      <c r="A13" s="49"/>
      <c r="B13" s="50" t="s">
        <v>36</v>
      </c>
      <c r="C13" s="51">
        <f>C8</f>
        <v>0</v>
      </c>
    </row>
    <row r="14" spans="1:10">
      <c r="A14" s="49"/>
      <c r="B14" s="50" t="s">
        <v>33</v>
      </c>
      <c r="C14" s="51">
        <f>C6</f>
        <v>151451</v>
      </c>
    </row>
    <row r="15" spans="1:10">
      <c r="A15" s="49"/>
      <c r="B15" s="49"/>
      <c r="C15" s="123">
        <f>SUM(C11:C14)</f>
        <v>1470295</v>
      </c>
    </row>
    <row r="16" spans="1:10">
      <c r="A16" s="49"/>
      <c r="B16" s="49"/>
      <c r="C16" s="49"/>
    </row>
    <row r="17" spans="1:3">
      <c r="A17" s="165" t="s">
        <v>38</v>
      </c>
      <c r="B17" s="166"/>
      <c r="C17" s="167"/>
    </row>
    <row r="18" spans="1:3">
      <c r="A18" s="49"/>
      <c r="B18" s="49"/>
      <c r="C18" s="58"/>
    </row>
    <row r="19" spans="1:3">
      <c r="A19" s="52" t="s">
        <v>29</v>
      </c>
      <c r="B19" s="52" t="s">
        <v>30</v>
      </c>
      <c r="C19" s="52" t="s">
        <v>31</v>
      </c>
    </row>
    <row r="20" spans="1:3">
      <c r="A20" s="53" t="s">
        <v>39</v>
      </c>
      <c r="B20" s="53" t="s">
        <v>145</v>
      </c>
      <c r="C20" s="54">
        <v>0</v>
      </c>
    </row>
    <row r="21" spans="1:3">
      <c r="A21" s="129" t="s">
        <v>90</v>
      </c>
      <c r="B21" s="130" t="s">
        <v>91</v>
      </c>
      <c r="C21" s="132">
        <v>0</v>
      </c>
    </row>
  </sheetData>
  <sheetProtection algorithmName="SHA-512" hashValue="WrgiBQXZxn+tHTmcvrh3kv3Qp9BXMHXSIk7HAaj3Qb18ygLV7Ji83RdJ5VrpuAxWEhEsK+iUjsZjKXIDr30BKg==" saltValue="qzhlqw5Z1nyaBARdYXBDYw==" spinCount="100000" sheet="1" objects="1" scenarios="1"/>
  <mergeCells count="2">
    <mergeCell ref="A2:C2"/>
    <mergeCell ref="A17:C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D654-E00B-4C7B-9369-C907DE96FE9F}">
  <dimension ref="A1:L48"/>
  <sheetViews>
    <sheetView workbookViewId="0">
      <selection activeCell="A5" sqref="A5"/>
    </sheetView>
  </sheetViews>
  <sheetFormatPr defaultRowHeight="14.5"/>
  <cols>
    <col min="1" max="1" width="52.1796875" customWidth="1"/>
    <col min="2" max="2" width="41.81640625" customWidth="1"/>
    <col min="3" max="3" width="15.90625" customWidth="1"/>
    <col min="4" max="4" width="97" customWidth="1"/>
    <col min="5" max="5" width="18.81640625" customWidth="1"/>
    <col min="6" max="6" width="13.81640625" customWidth="1"/>
    <col min="8" max="8" width="20.54296875" customWidth="1"/>
    <col min="9" max="9" width="14.36328125" customWidth="1"/>
    <col min="10" max="10" width="13.453125" customWidth="1"/>
    <col min="11" max="11" width="15.08984375" customWidth="1"/>
  </cols>
  <sheetData>
    <row r="1" spans="1:11" ht="23.5">
      <c r="A1" s="45" t="s">
        <v>74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 ht="70.5">
      <c r="A4" s="62" t="s">
        <v>118</v>
      </c>
      <c r="B4" s="62"/>
      <c r="D4" s="62" t="s">
        <v>42</v>
      </c>
      <c r="E4" s="128" t="s">
        <v>89</v>
      </c>
      <c r="F4" s="63" t="s">
        <v>41</v>
      </c>
      <c r="G4" s="186" t="s">
        <v>43</v>
      </c>
      <c r="H4" s="186"/>
      <c r="I4" s="186" t="s">
        <v>36</v>
      </c>
      <c r="J4" s="186"/>
    </row>
    <row r="5" spans="1:11">
      <c r="A5" s="49" t="s">
        <v>44</v>
      </c>
      <c r="B5" s="55">
        <v>54</v>
      </c>
      <c r="D5" s="50" t="s">
        <v>127</v>
      </c>
      <c r="E5" s="64">
        <f>(B8*(1+B14)^(B6-B5))</f>
        <v>897654.64</v>
      </c>
      <c r="F5" s="64">
        <f>B9*(1+B15)^(B6-B5)</f>
        <v>481440</v>
      </c>
      <c r="G5" s="168">
        <f>(B10*(1+B14)^(B6-B5))</f>
        <v>160538.06</v>
      </c>
      <c r="H5" s="168"/>
      <c r="I5" s="181">
        <f>(B11*(1+B16)^(B6-B5))</f>
        <v>0</v>
      </c>
      <c r="J5" s="182"/>
    </row>
    <row r="6" spans="1:11">
      <c r="A6" s="49" t="s">
        <v>88</v>
      </c>
      <c r="B6" s="55">
        <v>55</v>
      </c>
      <c r="D6" s="49" t="s">
        <v>128</v>
      </c>
      <c r="E6" s="65">
        <v>2.5000000000000001E-2</v>
      </c>
      <c r="F6" s="65">
        <v>0.04</v>
      </c>
      <c r="G6" s="171">
        <v>0.03</v>
      </c>
      <c r="H6" s="171"/>
      <c r="I6" s="172">
        <v>0.05</v>
      </c>
      <c r="J6" s="173"/>
    </row>
    <row r="7" spans="1:11">
      <c r="A7" s="49" t="s">
        <v>126</v>
      </c>
      <c r="B7" s="66">
        <f>B6-B5</f>
        <v>1</v>
      </c>
      <c r="D7" s="49" t="s">
        <v>129</v>
      </c>
      <c r="E7" s="67">
        <f>B14-E6</f>
        <v>3.4999999999999996E-2</v>
      </c>
      <c r="F7" s="67">
        <f>B15-F6</f>
        <v>-0.02</v>
      </c>
      <c r="G7" s="174">
        <f>B14-G6</f>
        <v>0.03</v>
      </c>
      <c r="H7" s="175"/>
      <c r="I7" s="176">
        <f>B16-I6</f>
        <v>-0.05</v>
      </c>
      <c r="J7" s="177"/>
    </row>
    <row r="8" spans="1:11">
      <c r="A8" s="49" t="s">
        <v>119</v>
      </c>
      <c r="B8" s="68">
        <f>SUM(Assets!C11)</f>
        <v>846844</v>
      </c>
      <c r="D8" s="126" t="s">
        <v>130</v>
      </c>
      <c r="E8" s="69">
        <v>0</v>
      </c>
      <c r="F8" s="69">
        <v>0</v>
      </c>
      <c r="G8" s="178">
        <v>0</v>
      </c>
      <c r="H8" s="178"/>
      <c r="I8" s="179">
        <v>0</v>
      </c>
      <c r="J8" s="180"/>
    </row>
    <row r="9" spans="1:11">
      <c r="A9" s="49" t="s">
        <v>45</v>
      </c>
      <c r="B9" s="68">
        <f>SUM(Assets!C12)</f>
        <v>472000</v>
      </c>
      <c r="D9" s="50" t="s">
        <v>131</v>
      </c>
      <c r="E9" s="51">
        <f>FV(B14, B7, -E8)</f>
        <v>0</v>
      </c>
      <c r="F9" s="51">
        <f>FV(B15,B7,-F8)</f>
        <v>0</v>
      </c>
      <c r="G9" s="183">
        <f>FV(B14, B7,-G8)</f>
        <v>0</v>
      </c>
      <c r="H9" s="184"/>
      <c r="I9" s="181">
        <f>FV(B16,B7,-I8)</f>
        <v>0</v>
      </c>
      <c r="J9" s="182"/>
    </row>
    <row r="10" spans="1:11">
      <c r="A10" s="48" t="s">
        <v>46</v>
      </c>
      <c r="B10" s="68">
        <f>SUM(Assets!C14)</f>
        <v>151451</v>
      </c>
      <c r="D10" s="50" t="s">
        <v>132</v>
      </c>
      <c r="E10" s="51">
        <f>((E5+E9)*E6)/12</f>
        <v>1870.1138333333336</v>
      </c>
      <c r="F10" s="64">
        <f>((F5+F9)*F6)/12</f>
        <v>1604.8000000000002</v>
      </c>
      <c r="G10" s="168">
        <f>((G5+G9)*G6)/12</f>
        <v>401.34514999999993</v>
      </c>
      <c r="H10" s="168"/>
      <c r="I10" s="181">
        <f>((I5+I9)*I6)/12</f>
        <v>0</v>
      </c>
      <c r="J10" s="182"/>
    </row>
    <row r="11" spans="1:11" ht="23.5">
      <c r="A11" s="145" t="s">
        <v>47</v>
      </c>
      <c r="B11" s="134">
        <f>SUM(Assets!C13)</f>
        <v>0</v>
      </c>
      <c r="D11" s="49"/>
      <c r="E11" s="185" t="s">
        <v>48</v>
      </c>
      <c r="F11" s="185"/>
    </row>
    <row r="12" spans="1:11">
      <c r="A12" s="70" t="s">
        <v>120</v>
      </c>
      <c r="B12" s="51">
        <f>SUM(IncomeandExpenses!J7)</f>
        <v>3000</v>
      </c>
      <c r="D12" s="49" t="s">
        <v>133</v>
      </c>
      <c r="E12" s="170">
        <f>E5+E9+F5+F9+G5+G9+I5+I9</f>
        <v>1539632.7000000002</v>
      </c>
      <c r="F12" s="170"/>
    </row>
    <row r="13" spans="1:11">
      <c r="A13" s="49" t="s">
        <v>121</v>
      </c>
      <c r="B13" s="65">
        <v>0.03</v>
      </c>
      <c r="D13" s="49" t="s">
        <v>135</v>
      </c>
      <c r="E13" s="170">
        <f>(((E5+E9)*E6/12)+((F5+F9)*F6/12)+((G5+G9)*G6/12))+((I5+I9)*I6/12)</f>
        <v>3876.2589833333341</v>
      </c>
      <c r="F13" s="170"/>
    </row>
    <row r="14" spans="1:11">
      <c r="A14" s="49" t="s">
        <v>50</v>
      </c>
      <c r="B14" s="65">
        <v>0.06</v>
      </c>
      <c r="D14" s="49" t="s">
        <v>123</v>
      </c>
      <c r="E14" s="169">
        <f>(B26/12)</f>
        <v>0</v>
      </c>
      <c r="F14" s="169"/>
    </row>
    <row r="15" spans="1:11">
      <c r="A15" s="49" t="s">
        <v>51</v>
      </c>
      <c r="B15" s="65">
        <v>0.02</v>
      </c>
      <c r="D15" s="49" t="s">
        <v>134</v>
      </c>
      <c r="E15" s="169">
        <f>(B28/12)</f>
        <v>0</v>
      </c>
      <c r="F15" s="169"/>
    </row>
    <row r="16" spans="1:11">
      <c r="A16" s="48" t="s">
        <v>52</v>
      </c>
      <c r="B16" s="71">
        <v>0</v>
      </c>
      <c r="D16" s="50" t="s">
        <v>136</v>
      </c>
      <c r="E16" s="168">
        <f>(E13-(G10+I10))+E14+E15</f>
        <v>3474.913833333334</v>
      </c>
      <c r="F16" s="168"/>
    </row>
    <row r="17" spans="1:11">
      <c r="A17" s="50" t="s">
        <v>122</v>
      </c>
      <c r="B17" s="64">
        <f>B12*(1+B13)^(B6-B5)</f>
        <v>3090</v>
      </c>
      <c r="D17" s="50" t="s">
        <v>137</v>
      </c>
      <c r="E17" s="168">
        <f>(((E16*12)-E46)/12)+(G10+I10)</f>
        <v>3390.7762166666676</v>
      </c>
      <c r="F17" s="168"/>
    </row>
    <row r="18" spans="1:11">
      <c r="A18" s="47"/>
      <c r="B18" s="47"/>
      <c r="D18" s="50" t="s">
        <v>53</v>
      </c>
      <c r="E18" s="168">
        <f>E17-B17</f>
        <v>300.77621666666755</v>
      </c>
      <c r="F18" s="168"/>
    </row>
    <row r="19" spans="1:11">
      <c r="A19" s="72"/>
      <c r="B19" s="72"/>
      <c r="D19" s="73"/>
      <c r="E19" s="74"/>
      <c r="F19" s="74"/>
    </row>
    <row r="20" spans="1:11">
      <c r="B20" s="75"/>
      <c r="E20" s="76"/>
      <c r="F20" s="77"/>
    </row>
    <row r="21" spans="1:11" ht="23.5">
      <c r="A21" s="78" t="s">
        <v>54</v>
      </c>
      <c r="B21" s="79"/>
      <c r="D21" s="62" t="s">
        <v>55</v>
      </c>
      <c r="E21" s="80"/>
      <c r="F21" s="81"/>
      <c r="G21" s="82"/>
      <c r="H21" s="82"/>
      <c r="I21" s="82"/>
      <c r="J21" s="82"/>
      <c r="K21" s="82"/>
    </row>
    <row r="22" spans="1:11">
      <c r="A22" s="49" t="s">
        <v>123</v>
      </c>
      <c r="B22" s="68">
        <f>SUM(Assets!C20)</f>
        <v>0</v>
      </c>
      <c r="D22" s="49"/>
      <c r="E22" s="83"/>
      <c r="F22" s="48"/>
      <c r="G22" s="49"/>
      <c r="H22" s="49"/>
      <c r="I22" s="49"/>
      <c r="J22" s="49"/>
      <c r="K22" s="49"/>
    </row>
    <row r="23" spans="1:11" ht="18">
      <c r="A23" s="49" t="s">
        <v>58</v>
      </c>
      <c r="B23" s="86">
        <v>0.02</v>
      </c>
      <c r="D23" s="84" t="s">
        <v>56</v>
      </c>
      <c r="E23" s="85"/>
      <c r="F23" s="85"/>
      <c r="G23" s="85"/>
      <c r="H23" s="85"/>
      <c r="I23" s="85"/>
      <c r="J23" s="85"/>
      <c r="K23" s="85"/>
    </row>
    <row r="24" spans="1:11">
      <c r="A24" s="49" t="s">
        <v>44</v>
      </c>
      <c r="B24" s="66">
        <f>B5</f>
        <v>54</v>
      </c>
      <c r="D24" s="49"/>
      <c r="E24" s="49"/>
      <c r="F24" s="49"/>
      <c r="G24" s="49"/>
      <c r="H24" s="49"/>
      <c r="I24" s="49"/>
      <c r="J24" s="49"/>
      <c r="K24" s="49"/>
    </row>
    <row r="25" spans="1:11">
      <c r="A25" s="49" t="s">
        <v>62</v>
      </c>
      <c r="B25" s="66">
        <f>B6</f>
        <v>55</v>
      </c>
      <c r="D25" s="49" t="s">
        <v>59</v>
      </c>
      <c r="E25" s="87">
        <v>12570</v>
      </c>
      <c r="F25" s="88" t="s">
        <v>60</v>
      </c>
      <c r="G25" s="89"/>
      <c r="H25" s="89"/>
      <c r="I25" s="90"/>
      <c r="J25" s="89"/>
      <c r="K25" s="89"/>
    </row>
    <row r="26" spans="1:11">
      <c r="A26" s="50" t="s">
        <v>124</v>
      </c>
      <c r="B26" s="64">
        <f>B22*(1+B23)^(B25-B24)</f>
        <v>0</v>
      </c>
      <c r="D26" s="49" t="s">
        <v>61</v>
      </c>
      <c r="E26" s="87">
        <v>0</v>
      </c>
      <c r="F26" s="49"/>
      <c r="G26" s="49"/>
      <c r="H26" s="49"/>
      <c r="I26" s="91"/>
      <c r="J26" s="49"/>
      <c r="K26" s="49"/>
    </row>
    <row r="27" spans="1:11">
      <c r="B27" s="96"/>
      <c r="D27" s="50" t="s">
        <v>56</v>
      </c>
      <c r="E27" s="92">
        <f>SUM(E25:E26)</f>
        <v>12570</v>
      </c>
      <c r="F27" s="49"/>
      <c r="G27" s="49"/>
      <c r="H27" s="49"/>
      <c r="I27" s="91"/>
      <c r="J27" s="49"/>
      <c r="K27" s="49"/>
    </row>
    <row r="28" spans="1:11">
      <c r="A28" s="50" t="s">
        <v>125</v>
      </c>
      <c r="B28" s="68">
        <f>SUM(Assets!C21)</f>
        <v>0</v>
      </c>
      <c r="D28" s="49"/>
      <c r="E28" s="93"/>
      <c r="F28" s="49"/>
      <c r="G28" s="49"/>
      <c r="H28" s="49"/>
      <c r="I28" s="91"/>
      <c r="J28" s="49"/>
      <c r="K28" s="49"/>
    </row>
    <row r="29" spans="1:11">
      <c r="A29" s="48"/>
      <c r="B29" s="71"/>
      <c r="D29" s="49"/>
      <c r="E29" s="93"/>
      <c r="F29" s="49"/>
      <c r="G29" s="49"/>
      <c r="H29" s="49"/>
      <c r="I29" s="48"/>
      <c r="J29" s="49"/>
      <c r="K29" s="49"/>
    </row>
    <row r="30" spans="1:11">
      <c r="A30" s="48"/>
      <c r="B30" s="48"/>
      <c r="D30" s="49"/>
      <c r="E30" s="93"/>
      <c r="F30" s="49"/>
      <c r="G30" s="49"/>
      <c r="H30" s="49"/>
      <c r="I30" s="91"/>
      <c r="J30" s="49"/>
      <c r="K30" s="49"/>
    </row>
    <row r="31" spans="1:11">
      <c r="A31" s="48"/>
      <c r="B31" s="48"/>
      <c r="D31" s="49"/>
      <c r="E31" s="93"/>
      <c r="F31" s="49"/>
      <c r="G31" s="49"/>
      <c r="H31" s="49"/>
      <c r="I31" s="91"/>
      <c r="J31" s="49"/>
      <c r="K31" s="49"/>
    </row>
    <row r="32" spans="1:11">
      <c r="A32" s="47"/>
      <c r="B32" s="147"/>
      <c r="D32" s="94"/>
      <c r="E32" s="95"/>
      <c r="F32" s="49"/>
      <c r="G32" s="49"/>
      <c r="H32" s="49"/>
      <c r="I32" s="49"/>
      <c r="J32" s="49"/>
      <c r="K32" s="49"/>
    </row>
    <row r="33" spans="1:12">
      <c r="A33" s="77"/>
      <c r="B33" s="76"/>
      <c r="D33" s="49"/>
      <c r="E33" s="49"/>
      <c r="F33" s="49"/>
      <c r="G33" s="49"/>
      <c r="H33" s="49"/>
      <c r="I33" s="49"/>
      <c r="J33" s="49"/>
      <c r="K33" s="49"/>
    </row>
    <row r="34" spans="1:12" ht="18">
      <c r="A34" s="47"/>
      <c r="B34" s="146"/>
      <c r="D34" s="98" t="s">
        <v>63</v>
      </c>
      <c r="E34" s="99"/>
      <c r="F34" s="99"/>
      <c r="G34" s="99"/>
      <c r="H34" s="99"/>
      <c r="I34" s="99"/>
      <c r="J34" s="99"/>
      <c r="K34" s="99"/>
    </row>
    <row r="35" spans="1:12">
      <c r="B35" s="75"/>
      <c r="D35" s="49"/>
      <c r="E35" s="100"/>
      <c r="F35" s="49"/>
      <c r="G35" s="101"/>
      <c r="H35" s="49"/>
      <c r="I35" s="49"/>
      <c r="J35" s="102"/>
      <c r="K35" s="49"/>
    </row>
    <row r="36" spans="1:12">
      <c r="D36" s="14" t="s">
        <v>64</v>
      </c>
      <c r="E36" s="103">
        <f>(E16*12)-E25</f>
        <v>29128.966000000008</v>
      </c>
      <c r="F36" s="49"/>
      <c r="G36" s="101"/>
      <c r="H36" s="49"/>
      <c r="I36" s="93"/>
      <c r="J36" s="49"/>
      <c r="K36" s="49"/>
    </row>
    <row r="37" spans="1:12">
      <c r="D37" s="104"/>
      <c r="E37" s="105"/>
      <c r="F37" s="49"/>
      <c r="G37" s="101"/>
      <c r="H37" s="49"/>
      <c r="I37" s="93"/>
      <c r="J37" s="49"/>
      <c r="K37" s="49"/>
    </row>
    <row r="38" spans="1:12">
      <c r="B38" s="97"/>
      <c r="D38" s="104"/>
      <c r="E38" s="105"/>
      <c r="F38" s="49"/>
      <c r="G38" s="101"/>
      <c r="H38" s="49"/>
      <c r="I38" s="93"/>
      <c r="J38" s="49"/>
      <c r="K38" s="49"/>
    </row>
    <row r="39" spans="1:12">
      <c r="B39" s="96"/>
      <c r="D39" s="49"/>
      <c r="E39" s="49"/>
      <c r="F39" s="49"/>
      <c r="G39" s="101"/>
      <c r="H39" s="49"/>
      <c r="I39" s="49"/>
      <c r="J39" s="49"/>
      <c r="K39" s="49"/>
    </row>
    <row r="40" spans="1:12">
      <c r="D40" s="70"/>
      <c r="E40" s="106" t="s">
        <v>65</v>
      </c>
      <c r="F40" s="106" t="s">
        <v>66</v>
      </c>
      <c r="G40" s="107"/>
      <c r="H40" s="106" t="s">
        <v>67</v>
      </c>
      <c r="I40" s="106" t="s">
        <v>68</v>
      </c>
      <c r="J40" s="106" t="s">
        <v>69</v>
      </c>
      <c r="K40" s="106" t="s">
        <v>70</v>
      </c>
    </row>
    <row r="41" spans="1:12">
      <c r="B41" s="75"/>
      <c r="D41" s="89" t="str">
        <f>H41*100&amp;"% Rate"</f>
        <v>10% Rate</v>
      </c>
      <c r="E41" s="108">
        <f>IF(E36&gt;=I41,IF(E36&gt;=K41,K41*H41,E36*H41),0)</f>
        <v>0</v>
      </c>
      <c r="F41" s="109">
        <f>IF((E36-K41)&gt;0,E36-K41,0)</f>
        <v>29128.966000000008</v>
      </c>
      <c r="G41" s="101"/>
      <c r="H41" s="110">
        <v>0.1</v>
      </c>
      <c r="I41" s="90">
        <v>0</v>
      </c>
      <c r="J41" s="90">
        <v>0</v>
      </c>
      <c r="K41" s="109">
        <f>J41-I41</f>
        <v>0</v>
      </c>
      <c r="L41" s="112" t="s">
        <v>73</v>
      </c>
    </row>
    <row r="42" spans="1:12">
      <c r="B42" s="97"/>
      <c r="D42" s="89" t="str">
        <f>H42*100&amp;"% Rate"</f>
        <v>20% Rate</v>
      </c>
      <c r="E42" s="108">
        <f>IF(F41&gt;0,IF(F41&gt;=K42,K42*H42,F41*H42),0)</f>
        <v>5825.7932000000019</v>
      </c>
      <c r="F42" s="109">
        <f>IF((F41-K42)&gt;0,F41-K42,0)</f>
        <v>0</v>
      </c>
      <c r="G42" s="101"/>
      <c r="H42" s="110">
        <v>0.2</v>
      </c>
      <c r="I42" s="108">
        <f>IF(J41&gt;=1,J41+1,J41)</f>
        <v>0</v>
      </c>
      <c r="J42" s="90">
        <v>33500</v>
      </c>
      <c r="K42" s="109">
        <f>J42-I42+1</f>
        <v>33501</v>
      </c>
    </row>
    <row r="43" spans="1:12">
      <c r="D43" s="89" t="str">
        <f>H43*100&amp;"% Rate"</f>
        <v>40% Rate</v>
      </c>
      <c r="E43" s="108">
        <f>IF(F42&gt;0,IF(F42&gt;=K43,K43*H43,F42*H43),0)</f>
        <v>0</v>
      </c>
      <c r="F43" s="109">
        <f>IF((F42-K43)&gt;0,F42-K43,0)</f>
        <v>0</v>
      </c>
      <c r="G43" s="101"/>
      <c r="H43" s="110">
        <v>0.4</v>
      </c>
      <c r="I43" s="108">
        <f>J42+1</f>
        <v>33501</v>
      </c>
      <c r="J43" s="111">
        <v>149999</v>
      </c>
      <c r="K43" s="109">
        <f>J43-I43+1</f>
        <v>116499</v>
      </c>
    </row>
    <row r="44" spans="1:12">
      <c r="D44" s="89" t="str">
        <f>H44*100&amp;"% Rate"</f>
        <v>50% Rate</v>
      </c>
      <c r="E44" s="108">
        <f>IF(F43&gt;0,IF(F43&gt;=K44,K44*H44,F43*H44),0)</f>
        <v>0</v>
      </c>
      <c r="F44" s="109">
        <f>IF((F43-K44)&gt;0,F43-K44,0)</f>
        <v>0</v>
      </c>
      <c r="G44" s="101"/>
      <c r="H44" s="110">
        <v>0.5</v>
      </c>
      <c r="I44" s="108">
        <f>J43+1</f>
        <v>150000</v>
      </c>
      <c r="J44" s="111">
        <v>99999999</v>
      </c>
      <c r="K44" s="109">
        <f>J44-I44+1</f>
        <v>99850000</v>
      </c>
    </row>
    <row r="45" spans="1:12">
      <c r="B45" s="96"/>
      <c r="D45" s="49"/>
      <c r="E45" s="49"/>
      <c r="F45" s="49"/>
      <c r="G45" s="101"/>
      <c r="H45" s="49"/>
      <c r="I45" s="49"/>
      <c r="J45" s="49"/>
      <c r="K45" s="49"/>
    </row>
    <row r="46" spans="1:12">
      <c r="D46" s="14" t="s">
        <v>71</v>
      </c>
      <c r="E46" s="103">
        <f>SUM(E41:E44)</f>
        <v>5825.7932000000019</v>
      </c>
      <c r="F46" s="49"/>
      <c r="G46" s="101"/>
      <c r="H46" s="49" t="s">
        <v>72</v>
      </c>
      <c r="I46" s="49"/>
      <c r="J46" s="49"/>
      <c r="K46" s="49"/>
    </row>
    <row r="47" spans="1:12">
      <c r="D47" s="49"/>
      <c r="E47" s="49"/>
      <c r="F47" s="49"/>
      <c r="G47" s="101"/>
      <c r="H47" s="49"/>
      <c r="I47" s="49"/>
      <c r="J47" s="49"/>
      <c r="K47" s="49"/>
    </row>
    <row r="48" spans="1:12">
      <c r="E48" s="96"/>
    </row>
  </sheetData>
  <sheetProtection algorithmName="SHA-512" hashValue="Lz5BATj6ZNyYnlhrjFqY0koY7e+Qx7j4DPekia46DcVaLvbaiLkkQ30TEf1q1ra3Hs4poZzTnHWjlw7x3jtfNA==" saltValue="q6xVtNvtjCRFnAsBHJrSrQ==" spinCount="100000" sheet="1" objects="1" scenarios="1"/>
  <mergeCells count="22">
    <mergeCell ref="G4:H4"/>
    <mergeCell ref="I4:J4"/>
    <mergeCell ref="G5:H5"/>
    <mergeCell ref="I5:J5"/>
    <mergeCell ref="E12:F12"/>
    <mergeCell ref="E13:F13"/>
    <mergeCell ref="G6:H6"/>
    <mergeCell ref="I6:J6"/>
    <mergeCell ref="G7:H7"/>
    <mergeCell ref="I7:J7"/>
    <mergeCell ref="G8:H8"/>
    <mergeCell ref="I8:J8"/>
    <mergeCell ref="G10:H10"/>
    <mergeCell ref="I10:J10"/>
    <mergeCell ref="G9:H9"/>
    <mergeCell ref="I9:J9"/>
    <mergeCell ref="E11:F11"/>
    <mergeCell ref="E18:F18"/>
    <mergeCell ref="E14:F14"/>
    <mergeCell ref="E15:F15"/>
    <mergeCell ref="E16:F16"/>
    <mergeCell ref="E17:F17"/>
  </mergeCells>
  <dataValidations count="1">
    <dataValidation type="decimal" allowBlank="1" showInputMessage="1" showErrorMessage="1" sqref="I25:I28 I30:I31 H41:H44 I41:J41 J42:J44" xr:uid="{D2150DF0-3041-4B1B-9A61-9C98DC381B2A}">
      <formula1>0</formula1>
      <formula2>1000000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1BD8-EA84-456E-A519-FF241CFCBE66}">
  <dimension ref="A1:M47"/>
  <sheetViews>
    <sheetView tabSelected="1" workbookViewId="0">
      <selection activeCell="F22" sqref="F22"/>
    </sheetView>
  </sheetViews>
  <sheetFormatPr defaultColWidth="8.90625" defaultRowHeight="14.5"/>
  <cols>
    <col min="1" max="1" width="67" customWidth="1"/>
    <col min="2" max="2" width="14.08984375" customWidth="1"/>
    <col min="5" max="5" width="64.54296875" customWidth="1"/>
    <col min="6" max="6" width="11.81640625" customWidth="1"/>
    <col min="7" max="7" width="13.54296875" customWidth="1"/>
    <col min="10" max="10" width="12.6328125" customWidth="1"/>
    <col min="11" max="11" width="16.36328125" customWidth="1"/>
    <col min="12" max="12" width="17.36328125" customWidth="1"/>
  </cols>
  <sheetData>
    <row r="1" spans="1:11" ht="21">
      <c r="A1" s="144" t="s">
        <v>96</v>
      </c>
      <c r="B1" s="144"/>
      <c r="C1" s="144"/>
      <c r="D1" s="144"/>
      <c r="E1" s="143"/>
      <c r="F1" s="73"/>
      <c r="G1" s="73"/>
      <c r="H1" s="73"/>
      <c r="I1" s="73"/>
      <c r="J1" s="73"/>
      <c r="K1" s="73"/>
    </row>
    <row r="3" spans="1:11">
      <c r="A3" s="49" t="s">
        <v>97</v>
      </c>
      <c r="B3" s="66">
        <f>SUM(CashFlow!B6)</f>
        <v>55</v>
      </c>
      <c r="E3" s="49" t="s">
        <v>110</v>
      </c>
      <c r="F3" s="131">
        <f>B14+B19+B21+B23</f>
        <v>4765.6198849518332</v>
      </c>
    </row>
    <row r="4" spans="1:11">
      <c r="A4" s="49" t="s">
        <v>57</v>
      </c>
      <c r="B4" s="55">
        <v>67</v>
      </c>
      <c r="E4" s="49" t="s">
        <v>109</v>
      </c>
      <c r="F4" s="131">
        <f>B15</f>
        <v>452.24576074206988</v>
      </c>
    </row>
    <row r="5" spans="1:11">
      <c r="A5" s="49" t="s">
        <v>98</v>
      </c>
      <c r="B5" s="66">
        <f>B4-B3</f>
        <v>12</v>
      </c>
      <c r="E5" s="49"/>
      <c r="F5" s="131">
        <f>SUM(F3:F4)</f>
        <v>5217.8656456939034</v>
      </c>
    </row>
    <row r="6" spans="1:11">
      <c r="A6" s="49"/>
      <c r="B6" s="49"/>
      <c r="E6" s="49"/>
      <c r="F6" s="49"/>
    </row>
    <row r="7" spans="1:11">
      <c r="A7" s="133" t="s">
        <v>107</v>
      </c>
      <c r="B7" s="134">
        <f>SUM(CashFlow!E10+CashFlow!F10)</f>
        <v>3474.913833333334</v>
      </c>
      <c r="E7" s="50" t="s">
        <v>138</v>
      </c>
      <c r="F7" s="131">
        <f>((F3*12)-F46)/12+F4</f>
        <v>4288.9676917131701</v>
      </c>
    </row>
    <row r="8" spans="1:11">
      <c r="A8" s="133" t="s">
        <v>112</v>
      </c>
      <c r="B8" s="134">
        <f>SUM(CashFlow!G10+CashFlow!I10)</f>
        <v>401.34514999999993</v>
      </c>
      <c r="C8" t="s">
        <v>113</v>
      </c>
    </row>
    <row r="9" spans="1:11">
      <c r="A9" s="49" t="s">
        <v>99</v>
      </c>
      <c r="B9" s="68">
        <f>SUM(CashFlow!B26)/12</f>
        <v>0</v>
      </c>
    </row>
    <row r="10" spans="1:11">
      <c r="A10" s="49"/>
      <c r="B10" s="68">
        <f>SUM(B7:B9)</f>
        <v>3876.2589833333341</v>
      </c>
    </row>
    <row r="11" spans="1:11">
      <c r="A11" s="49"/>
      <c r="B11" s="49"/>
    </row>
    <row r="12" spans="1:11">
      <c r="A12" s="135" t="s">
        <v>100</v>
      </c>
      <c r="B12" s="135"/>
    </row>
    <row r="13" spans="1:11">
      <c r="A13" s="49" t="s">
        <v>103</v>
      </c>
      <c r="B13" s="140">
        <v>0.01</v>
      </c>
    </row>
    <row r="14" spans="1:11">
      <c r="A14" s="133" t="s">
        <v>107</v>
      </c>
      <c r="B14" s="131">
        <f>(B7*(1+B13)^(B4-B3))</f>
        <v>3915.6198849518328</v>
      </c>
    </row>
    <row r="15" spans="1:11">
      <c r="A15" s="133" t="s">
        <v>108</v>
      </c>
      <c r="B15" s="131">
        <f>(B8*(1+B13)^(B4-B3))</f>
        <v>452.24576074206988</v>
      </c>
    </row>
    <row r="16" spans="1:11">
      <c r="A16" s="49"/>
      <c r="B16" s="49"/>
    </row>
    <row r="17" spans="1:12">
      <c r="A17" s="135" t="s">
        <v>101</v>
      </c>
      <c r="B17" s="135"/>
    </row>
    <row r="18" spans="1:12">
      <c r="A18" s="49" t="s">
        <v>102</v>
      </c>
      <c r="B18" s="136">
        <v>0.02</v>
      </c>
    </row>
    <row r="19" spans="1:12">
      <c r="A19" s="49" t="s">
        <v>104</v>
      </c>
      <c r="B19" s="131">
        <f>(B9*(1+B18)^(B4-B3))</f>
        <v>0</v>
      </c>
    </row>
    <row r="20" spans="1:12">
      <c r="A20" s="49"/>
      <c r="B20" s="49"/>
    </row>
    <row r="21" spans="1:12" ht="23.5">
      <c r="A21" s="137" t="s">
        <v>105</v>
      </c>
      <c r="B21" s="69">
        <v>850</v>
      </c>
      <c r="E21" s="62" t="s">
        <v>55</v>
      </c>
      <c r="F21" s="80"/>
      <c r="G21" s="81"/>
      <c r="H21" s="82"/>
      <c r="I21" s="82"/>
      <c r="J21" s="82"/>
      <c r="K21" s="82"/>
      <c r="L21" s="82"/>
    </row>
    <row r="22" spans="1:12">
      <c r="A22" s="49"/>
      <c r="B22" s="49"/>
      <c r="E22" s="49"/>
      <c r="F22" s="83"/>
      <c r="G22" s="48"/>
      <c r="H22" s="49"/>
      <c r="I22" s="49"/>
      <c r="J22" s="49"/>
      <c r="K22" s="49"/>
      <c r="L22" s="49"/>
    </row>
    <row r="23" spans="1:12" ht="18">
      <c r="A23" s="137" t="s">
        <v>106</v>
      </c>
      <c r="B23" s="141">
        <v>0</v>
      </c>
      <c r="E23" s="84" t="s">
        <v>56</v>
      </c>
      <c r="F23" s="85"/>
      <c r="G23" s="85"/>
      <c r="H23" s="85"/>
      <c r="I23" s="85"/>
      <c r="J23" s="85"/>
      <c r="K23" s="85"/>
      <c r="L23" s="85"/>
    </row>
    <row r="24" spans="1:12">
      <c r="E24" s="49"/>
      <c r="F24" s="49"/>
      <c r="G24" s="49"/>
      <c r="H24" s="49"/>
      <c r="I24" s="49"/>
      <c r="J24" s="49"/>
      <c r="K24" s="49"/>
      <c r="L24" s="49"/>
    </row>
    <row r="25" spans="1:12">
      <c r="E25" s="49" t="s">
        <v>59</v>
      </c>
      <c r="F25" s="87">
        <v>12570</v>
      </c>
      <c r="G25" s="88" t="s">
        <v>60</v>
      </c>
      <c r="H25" s="89"/>
      <c r="I25" s="89"/>
      <c r="J25" s="138"/>
      <c r="K25" s="89"/>
      <c r="L25" s="89"/>
    </row>
    <row r="26" spans="1:12">
      <c r="E26" s="49" t="s">
        <v>61</v>
      </c>
      <c r="F26" s="87">
        <v>0</v>
      </c>
      <c r="G26" s="49"/>
      <c r="H26" s="49"/>
      <c r="I26" s="49"/>
      <c r="J26" s="139"/>
      <c r="K26" s="49"/>
      <c r="L26" s="49"/>
    </row>
    <row r="27" spans="1:12">
      <c r="E27" s="50" t="s">
        <v>56</v>
      </c>
      <c r="F27" s="92">
        <f>SUM(F25:F26)</f>
        <v>12570</v>
      </c>
      <c r="G27" s="49"/>
      <c r="H27" s="49"/>
      <c r="I27" s="49"/>
      <c r="J27" s="139"/>
      <c r="K27" s="49"/>
      <c r="L27" s="49"/>
    </row>
    <row r="28" spans="1:12">
      <c r="E28" s="49"/>
      <c r="F28" s="93"/>
      <c r="G28" s="49"/>
      <c r="H28" s="49"/>
      <c r="I28" s="49"/>
      <c r="J28" s="139"/>
      <c r="K28" s="49"/>
      <c r="L28" s="49"/>
    </row>
    <row r="29" spans="1:12">
      <c r="E29" s="49"/>
      <c r="F29" s="93"/>
      <c r="G29" s="49"/>
      <c r="H29" s="49"/>
      <c r="I29" s="49"/>
      <c r="J29" s="48"/>
      <c r="K29" s="49"/>
      <c r="L29" s="49"/>
    </row>
    <row r="30" spans="1:12">
      <c r="E30" s="49"/>
      <c r="F30" s="93"/>
      <c r="G30" s="49"/>
      <c r="H30" s="49"/>
      <c r="I30" s="49"/>
      <c r="J30" s="139"/>
      <c r="K30" s="49"/>
      <c r="L30" s="49"/>
    </row>
    <row r="31" spans="1:12">
      <c r="E31" s="49"/>
      <c r="F31" s="93"/>
      <c r="G31" s="49"/>
      <c r="H31" s="49"/>
      <c r="I31" s="49"/>
      <c r="J31" s="139"/>
      <c r="K31" s="49"/>
      <c r="L31" s="49"/>
    </row>
    <row r="32" spans="1:12">
      <c r="E32" s="94"/>
      <c r="F32" s="95"/>
      <c r="G32" s="49"/>
      <c r="H32" s="49"/>
      <c r="I32" s="49"/>
      <c r="J32" s="49"/>
      <c r="K32" s="49"/>
      <c r="L32" s="49"/>
    </row>
    <row r="33" spans="5:13">
      <c r="E33" s="49"/>
      <c r="F33" s="49"/>
      <c r="G33" s="49"/>
      <c r="H33" s="49"/>
      <c r="I33" s="49"/>
      <c r="J33" s="49"/>
      <c r="K33" s="49"/>
      <c r="L33" s="49"/>
    </row>
    <row r="34" spans="5:13" ht="18">
      <c r="E34" s="98" t="s">
        <v>63</v>
      </c>
      <c r="F34" s="99"/>
      <c r="G34" s="99"/>
      <c r="H34" s="99"/>
      <c r="I34" s="99"/>
      <c r="J34" s="99"/>
      <c r="K34" s="99"/>
      <c r="L34" s="99"/>
    </row>
    <row r="35" spans="5:13">
      <c r="E35" s="49"/>
      <c r="F35" s="100"/>
      <c r="G35" s="49"/>
      <c r="H35" s="101"/>
      <c r="I35" s="49"/>
      <c r="J35" s="49"/>
      <c r="K35" s="102"/>
      <c r="L35" s="49"/>
    </row>
    <row r="36" spans="5:13">
      <c r="E36" s="14" t="s">
        <v>64</v>
      </c>
      <c r="F36" s="103">
        <f>(F3*12)-F25</f>
        <v>44617.438619421999</v>
      </c>
      <c r="G36" s="49"/>
      <c r="H36" s="101"/>
      <c r="I36" s="49"/>
      <c r="J36" s="93"/>
      <c r="K36" s="49"/>
      <c r="L36" s="49"/>
    </row>
    <row r="37" spans="5:13">
      <c r="E37" s="104"/>
      <c r="F37" s="105"/>
      <c r="G37" s="49"/>
      <c r="H37" s="101"/>
      <c r="I37" s="49"/>
      <c r="J37" s="93"/>
      <c r="K37" s="49"/>
      <c r="L37" s="49"/>
    </row>
    <row r="38" spans="5:13">
      <c r="E38" s="104"/>
      <c r="F38" s="105"/>
      <c r="G38" s="49"/>
      <c r="H38" s="101"/>
      <c r="I38" s="49"/>
      <c r="J38" s="93"/>
      <c r="K38" s="49"/>
      <c r="L38" s="49"/>
    </row>
    <row r="39" spans="5:13">
      <c r="E39" s="49"/>
      <c r="F39" s="49"/>
      <c r="G39" s="49"/>
      <c r="H39" s="101"/>
      <c r="I39" s="49"/>
      <c r="J39" s="49"/>
      <c r="K39" s="49"/>
      <c r="L39" s="49"/>
    </row>
    <row r="40" spans="5:13">
      <c r="E40" s="70"/>
      <c r="F40" s="106" t="s">
        <v>65</v>
      </c>
      <c r="G40" s="106" t="s">
        <v>66</v>
      </c>
      <c r="H40" s="107"/>
      <c r="I40" s="106" t="s">
        <v>67</v>
      </c>
      <c r="J40" s="106" t="s">
        <v>68</v>
      </c>
      <c r="K40" s="106" t="s">
        <v>69</v>
      </c>
      <c r="L40" s="106" t="s">
        <v>70</v>
      </c>
    </row>
    <row r="41" spans="5:13">
      <c r="E41" s="142" t="str">
        <f>I41*100&amp;"% Rate"</f>
        <v>10% Rate</v>
      </c>
      <c r="F41" s="108">
        <f>IF(F36&gt;=J41,IF(F36&gt;=L41,L41*I41,F36*I41),0)</f>
        <v>0</v>
      </c>
      <c r="G41" s="109">
        <f>IF((F36-L41)&gt;0,F36-L41,0)</f>
        <v>44617.438619421999</v>
      </c>
      <c r="H41" s="101"/>
      <c r="I41" s="110">
        <v>0.1</v>
      </c>
      <c r="J41" s="90">
        <v>0</v>
      </c>
      <c r="K41" s="90">
        <v>0</v>
      </c>
      <c r="L41" s="109">
        <f>K41-J41</f>
        <v>0</v>
      </c>
      <c r="M41" s="112" t="s">
        <v>73</v>
      </c>
    </row>
    <row r="42" spans="5:13">
      <c r="E42" s="142" t="str">
        <f>I42*100&amp;"% Rate"</f>
        <v>20% Rate</v>
      </c>
      <c r="F42" s="108">
        <f>IF(G41&gt;0,IF(G41&gt;=L42,L42*I42,G41*I42),0)</f>
        <v>6700.2000000000007</v>
      </c>
      <c r="G42" s="109">
        <f>IF((G41-L42)&gt;0,G41-L42,0)</f>
        <v>11116.438619421999</v>
      </c>
      <c r="H42" s="101"/>
      <c r="I42" s="110">
        <v>0.2</v>
      </c>
      <c r="J42" s="108">
        <f>IF(K41&gt;=1,K41+1,K41)</f>
        <v>0</v>
      </c>
      <c r="K42" s="90">
        <v>33500</v>
      </c>
      <c r="L42" s="109">
        <f>K42-J42+1</f>
        <v>33501</v>
      </c>
    </row>
    <row r="43" spans="5:13">
      <c r="E43" s="142" t="str">
        <f>I43*100&amp;"% Rate"</f>
        <v>40% Rate</v>
      </c>
      <c r="F43" s="108">
        <f>IF(G42&gt;0,IF(G42&gt;=L43,L43*I43,G42*I43),0)</f>
        <v>4446.5754477687997</v>
      </c>
      <c r="G43" s="109">
        <f>IF((G42-L43)&gt;0,G42-L43,0)</f>
        <v>0</v>
      </c>
      <c r="H43" s="101"/>
      <c r="I43" s="110">
        <v>0.4</v>
      </c>
      <c r="J43" s="108">
        <f>K42+1</f>
        <v>33501</v>
      </c>
      <c r="K43" s="111">
        <v>149999</v>
      </c>
      <c r="L43" s="109">
        <f>K43-J43+1</f>
        <v>116499</v>
      </c>
    </row>
    <row r="44" spans="5:13">
      <c r="E44" s="142" t="str">
        <f>I44*100&amp;"% Rate"</f>
        <v>50% Rate</v>
      </c>
      <c r="F44" s="108">
        <f>IF(G43&gt;0,IF(G43&gt;=L44,L44*I44,G43*I44),0)</f>
        <v>0</v>
      </c>
      <c r="G44" s="109">
        <f>IF((G43-L44)&gt;0,G43-L44,0)</f>
        <v>0</v>
      </c>
      <c r="H44" s="101"/>
      <c r="I44" s="110">
        <v>0.5</v>
      </c>
      <c r="J44" s="108">
        <f>K43+1</f>
        <v>150000</v>
      </c>
      <c r="K44" s="111">
        <v>99999999</v>
      </c>
      <c r="L44" s="109">
        <f>K44-J44+1</f>
        <v>99850000</v>
      </c>
    </row>
    <row r="45" spans="5:13">
      <c r="E45" s="49"/>
      <c r="F45" s="49"/>
      <c r="G45" s="49"/>
      <c r="H45" s="101"/>
      <c r="I45" s="49"/>
      <c r="J45" s="49"/>
      <c r="K45" s="49"/>
      <c r="L45" s="49"/>
    </row>
    <row r="46" spans="5:13">
      <c r="E46" s="14" t="s">
        <v>71</v>
      </c>
      <c r="F46" s="103">
        <f>SUM(F41:F44)</f>
        <v>11146.775447768799</v>
      </c>
      <c r="G46" s="49"/>
      <c r="H46" s="101"/>
      <c r="I46" s="49" t="s">
        <v>72</v>
      </c>
      <c r="J46" s="49"/>
      <c r="K46" s="49"/>
      <c r="L46" s="49"/>
    </row>
    <row r="47" spans="5:13">
      <c r="E47" s="49"/>
      <c r="F47" s="49"/>
      <c r="G47" s="49"/>
      <c r="H47" s="101"/>
      <c r="I47" s="49"/>
      <c r="J47" s="49"/>
      <c r="K47" s="49"/>
      <c r="L47" s="49"/>
    </row>
  </sheetData>
  <sheetProtection algorithmName="SHA-512" hashValue="DHmaiPuFYwJS45xEmXueTeJ8kDjZ02eUZnl760Mwk7xOXOEmGnSKruH/4YW5RrAx99vJMidaz0Rid0KUpbROkQ==" saltValue="UR6+dX3H8S4ToK+HcLbThw==" spinCount="100000" sheet="1" objects="1" scenarios="1"/>
  <dataValidations count="1">
    <dataValidation type="decimal" allowBlank="1" showInputMessage="1" showErrorMessage="1" sqref="J25:J28 J30:J31 I41:I44 J41:K41 K42:K44" xr:uid="{02A38FC0-9DF4-4AE7-9B4F-6AA25D02DEAB}">
      <formula1>0</formula1>
      <formula2>1000000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5A03-A641-41E0-BB45-7B755BDDC644}">
  <dimension ref="A1:D27"/>
  <sheetViews>
    <sheetView topLeftCell="B1" workbookViewId="0">
      <selection activeCell="L1" sqref="L1"/>
    </sheetView>
  </sheetViews>
  <sheetFormatPr defaultRowHeight="14.5"/>
  <cols>
    <col min="1" max="1" width="61.6328125" customWidth="1"/>
    <col min="2" max="2" width="24.08984375" customWidth="1"/>
  </cols>
  <sheetData>
    <row r="1" spans="1:2" ht="23.5">
      <c r="A1" s="113" t="s">
        <v>75</v>
      </c>
      <c r="B1" s="44"/>
    </row>
    <row r="2" spans="1:2" ht="23.5">
      <c r="A2" s="114" t="s">
        <v>76</v>
      </c>
      <c r="B2" s="115">
        <v>45047</v>
      </c>
    </row>
    <row r="3" spans="1:2">
      <c r="A3" s="58"/>
      <c r="B3" s="55"/>
    </row>
    <row r="4" spans="1:2">
      <c r="A4" s="58" t="s">
        <v>77</v>
      </c>
      <c r="B4" s="116"/>
    </row>
    <row r="5" spans="1:2">
      <c r="A5" s="58"/>
      <c r="B5" s="60"/>
    </row>
    <row r="6" spans="1:2">
      <c r="A6" s="49" t="s">
        <v>111</v>
      </c>
      <c r="B6" s="117">
        <f>SUM(CashFlow!B5)</f>
        <v>54</v>
      </c>
    </row>
    <row r="7" spans="1:2">
      <c r="A7" s="58"/>
      <c r="B7" s="118"/>
    </row>
    <row r="8" spans="1:2">
      <c r="A8" s="49" t="s">
        <v>88</v>
      </c>
      <c r="B8" s="117">
        <f>SUM(CashFlow!B6)</f>
        <v>55</v>
      </c>
    </row>
    <row r="9" spans="1:2">
      <c r="A9" s="58"/>
      <c r="B9" s="118"/>
    </row>
    <row r="10" spans="1:2">
      <c r="A10" s="58" t="s">
        <v>79</v>
      </c>
      <c r="B10" s="119">
        <f>SUM(Assets!C15)</f>
        <v>1470295</v>
      </c>
    </row>
    <row r="11" spans="1:2">
      <c r="A11" s="58" t="s">
        <v>85</v>
      </c>
      <c r="B11" s="119">
        <f>SUM(CashFlow!E12)</f>
        <v>1539632.7000000002</v>
      </c>
    </row>
    <row r="12" spans="1:2">
      <c r="A12" s="58"/>
      <c r="B12" s="127"/>
    </row>
    <row r="13" spans="1:2">
      <c r="A13" s="120" t="s">
        <v>86</v>
      </c>
      <c r="B13" s="121">
        <f>SUM(CashFlow!B12)</f>
        <v>3000</v>
      </c>
    </row>
    <row r="14" spans="1:2">
      <c r="A14" s="120" t="s">
        <v>87</v>
      </c>
      <c r="B14" s="121">
        <f>SUM(CashFlow!B17)</f>
        <v>3090</v>
      </c>
    </row>
    <row r="15" spans="1:2">
      <c r="A15" s="58" t="s">
        <v>139</v>
      </c>
      <c r="B15" s="121">
        <f>SUM(CashFlow!E17)</f>
        <v>3390.7762166666676</v>
      </c>
    </row>
    <row r="16" spans="1:2">
      <c r="A16" s="122" t="s">
        <v>80</v>
      </c>
      <c r="B16" s="121">
        <f>SUM(CashFlow!E18)</f>
        <v>300.77621666666755</v>
      </c>
    </row>
    <row r="18" spans="1:4">
      <c r="A18" s="126" t="s">
        <v>81</v>
      </c>
      <c r="B18" s="126"/>
    </row>
    <row r="19" spans="1:4">
      <c r="A19" s="49" t="s">
        <v>49</v>
      </c>
      <c r="B19" s="124">
        <f>SUM(CashFlow!B13)</f>
        <v>0.03</v>
      </c>
      <c r="C19" s="58" t="s">
        <v>143</v>
      </c>
      <c r="D19" s="96">
        <f>B15</f>
        <v>3390.7762166666676</v>
      </c>
    </row>
    <row r="20" spans="1:4">
      <c r="A20" s="49" t="s">
        <v>50</v>
      </c>
      <c r="B20" s="124">
        <f>SUM(CashFlow!B14)</f>
        <v>0.06</v>
      </c>
      <c r="C20" s="120" t="s">
        <v>87</v>
      </c>
      <c r="D20" s="96">
        <f>B26</f>
        <v>4405.6011403546918</v>
      </c>
    </row>
    <row r="21" spans="1:4">
      <c r="A21" s="49" t="s">
        <v>51</v>
      </c>
      <c r="B21" s="124">
        <f>SUM(CashFlow!B15)</f>
        <v>0.02</v>
      </c>
      <c r="C21" s="49" t="s">
        <v>142</v>
      </c>
      <c r="D21" s="96">
        <f>B27</f>
        <v>4288.9676917131701</v>
      </c>
    </row>
    <row r="22" spans="1:4">
      <c r="A22" s="48" t="s">
        <v>52</v>
      </c>
      <c r="B22" s="124">
        <f>SUM(CashFlow!B16)</f>
        <v>0</v>
      </c>
      <c r="C22" s="49"/>
      <c r="D22" s="96"/>
    </row>
    <row r="23" spans="1:4">
      <c r="A23" s="49" t="s">
        <v>82</v>
      </c>
      <c r="B23" s="124">
        <f>SUM(CashFlow!B29)</f>
        <v>0</v>
      </c>
    </row>
    <row r="25" spans="1:4">
      <c r="A25" s="126" t="s">
        <v>141</v>
      </c>
      <c r="B25" s="89">
        <v>67</v>
      </c>
    </row>
    <row r="26" spans="1:4">
      <c r="A26" s="120" t="s">
        <v>87</v>
      </c>
      <c r="B26" s="131">
        <f>B14*(1+B19)^(B25-B8)</f>
        <v>4405.6011403546918</v>
      </c>
    </row>
    <row r="27" spans="1:4">
      <c r="A27" s="49" t="s">
        <v>140</v>
      </c>
      <c r="B27" s="131">
        <f>SUM(SPACalculator!F7)</f>
        <v>4288.9676917131701</v>
      </c>
    </row>
  </sheetData>
  <sheetProtection algorithmName="SHA-512" hashValue="O23s2j6sg74+HsLIRGiJ2sUgby/dRqj64ZIA5JWfTDPhYr/BGmV5JGG7f3OAMrGXmTtgDeJxnjq643t4gJ0m2g==" saltValue="YOfEwsnwd4ZJZmcponiXXg==" spinCount="100000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845EE757D3343A118BDAD03DBE09E" ma:contentTypeVersion="16" ma:contentTypeDescription="Create a new document." ma:contentTypeScope="" ma:versionID="d4808bac024cc9c3efc89bdd5074ff37">
  <xsd:schema xmlns:xsd="http://www.w3.org/2001/XMLSchema" xmlns:xs="http://www.w3.org/2001/XMLSchema" xmlns:p="http://schemas.microsoft.com/office/2006/metadata/properties" xmlns:ns2="9806a933-ea8f-4bfc-b3cf-34f6b2e8dbfd" xmlns:ns3="903f9f70-f2d1-423d-9ab8-0d26f879a8cb" targetNamespace="http://schemas.microsoft.com/office/2006/metadata/properties" ma:root="true" ma:fieldsID="947b334c56620b2d5aeb046eaf450b0a" ns2:_="" ns3:_="">
    <xsd:import namespace="9806a933-ea8f-4bfc-b3cf-34f6b2e8dbfd"/>
    <xsd:import namespace="903f9f70-f2d1-423d-9ab8-0d26f879a8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6a933-ea8f-4bfc-b3cf-34f6b2e8d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9e94e34-d67b-4a2f-9305-67942e8417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f9f70-f2d1-423d-9ab8-0d26f879a8c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427b55-3dc0-48a0-bfc8-66a556a65981}" ma:internalName="TaxCatchAll" ma:showField="CatchAllData" ma:web="903f9f70-f2d1-423d-9ab8-0d26f879a8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3f9f70-f2d1-423d-9ab8-0d26f879a8cb" xsi:nil="true"/>
    <lcf76f155ced4ddcb4097134ff3c332f xmlns="9806a933-ea8f-4bfc-b3cf-34f6b2e8db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25D6DE-D7AF-4AE1-82C5-3D18F6DC28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290F6A-189D-4B04-9AD5-004238B30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6a933-ea8f-4bfc-b3cf-34f6b2e8dbfd"/>
    <ds:schemaRef ds:uri="903f9f70-f2d1-423d-9ab8-0d26f879a8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E864DC-95AA-4E5F-BD0B-7A2C6A9D6BCC}">
  <ds:schemaRefs>
    <ds:schemaRef ds:uri="http://schemas.microsoft.com/office/2006/metadata/properties"/>
    <ds:schemaRef ds:uri="http://schemas.microsoft.com/office/infopath/2007/PartnerControls"/>
    <ds:schemaRef ds:uri="903f9f70-f2d1-423d-9ab8-0d26f879a8cb"/>
    <ds:schemaRef ds:uri="9806a933-ea8f-4bfc-b3cf-34f6b2e8db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IncomeandExpenses</vt:lpstr>
      <vt:lpstr>Assets</vt:lpstr>
      <vt:lpstr>CashFlow</vt:lpstr>
      <vt:lpstr>SPACalculator</vt:lpstr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Ladds</dc:creator>
  <cp:lastModifiedBy>George Ladds</cp:lastModifiedBy>
  <dcterms:created xsi:type="dcterms:W3CDTF">2017-09-08T09:28:43Z</dcterms:created>
  <dcterms:modified xsi:type="dcterms:W3CDTF">2025-11-23T14:51:14Z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0x01010046D845EE757D3343A118BDAD03DBE09E</vt:lpwstr>
  </property>
  <property fmtid="{D5CDD505-2E9C-101B-9397-08002B2CF9AE}" pid="3" name="Order">
    <vt:r8>683200</vt:r8>
  </property>
</Properties>
</file>